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 tabRatio="911" firstSheet="4" activeTab="16"/>
  </bookViews>
  <sheets>
    <sheet name="перелік" sheetId="1" state="hidden" r:id="rId1"/>
    <sheet name="заява" sheetId="2" r:id="rId2"/>
    <sheet name="річний план" sheetId="3" r:id="rId3"/>
    <sheet name="обсяги_факт" sheetId="22" r:id="rId4"/>
    <sheet name="структура_полн" sheetId="19" r:id="rId5"/>
    <sheet name="структура " sheetId="28" r:id="rId6"/>
    <sheet name="розрахунок тарифу" sheetId="4" r:id="rId7"/>
    <sheet name="покупна вода" sheetId="9" r:id="rId8"/>
    <sheet name="ФОТ" sheetId="13" r:id="rId9"/>
    <sheet name="штат" sheetId="16" r:id="rId10"/>
    <sheet name="эл.энергия" sheetId="5" r:id="rId11"/>
    <sheet name="эл.оборуд." sheetId="18" r:id="rId12"/>
    <sheet name="загальновироб" sheetId="24" r:id="rId13"/>
    <sheet name="ПММ" sheetId="26" r:id="rId14"/>
    <sheet name="ОхронаПраці" sheetId="20" r:id="rId15"/>
    <sheet name="админ" sheetId="25" r:id="rId16"/>
    <sheet name="збут" sheetId="8" r:id="rId17"/>
    <sheet name="інші" sheetId="10" state="hidden" r:id="rId18"/>
    <sheet name="фін.расх" sheetId="11" state="hidden" r:id="rId19"/>
  </sheets>
  <definedNames>
    <definedName name="_GoBack" localSheetId="9">штат!#REF!</definedName>
    <definedName name="_xlnm._FilterDatabase" localSheetId="4" hidden="1">структура_полн!$A$6:$K$63</definedName>
    <definedName name="OLE_LINK2" localSheetId="6">'розрахунок тарифу'!$A$2</definedName>
    <definedName name="_xlnm.Print_Area" localSheetId="1">заява!$A$1:$C$38</definedName>
    <definedName name="_xlnm.Print_Area" localSheetId="16">збут!$A$1:$I$2</definedName>
    <definedName name="_xlnm.Print_Area" localSheetId="3">обсяги_факт!$A$1:$Q$26</definedName>
    <definedName name="_xlnm.Print_Area" localSheetId="14">ОхронаПраці!$A$1:$F$19</definedName>
    <definedName name="_xlnm.Print_Area" localSheetId="0">перелік!$A$1:$C$14</definedName>
    <definedName name="_xlnm.Print_Area" localSheetId="2">'річний план'!$A$1:$F$38</definedName>
    <definedName name="_xlnm.Print_Area" localSheetId="6">'розрахунок тарифу'!$A$1:$I$42</definedName>
    <definedName name="_xlnm.Print_Area" localSheetId="5">'структура '!$A$1:$F$55</definedName>
    <definedName name="_xlnm.Print_Area" localSheetId="4">структура_полн!$A$1:$F$75</definedName>
    <definedName name="_xlnm.Print_Area" localSheetId="10">эл.энергия!$A$1:$K$17</definedName>
  </definedNames>
  <calcPr calcId="145621"/>
</workbook>
</file>

<file path=xl/calcChain.xml><?xml version="1.0" encoding="utf-8"?>
<calcChain xmlns="http://schemas.openxmlformats.org/spreadsheetml/2006/main">
  <c r="E59" i="28" l="1"/>
  <c r="I64" i="28"/>
  <c r="J64" i="28"/>
  <c r="C58" i="28"/>
  <c r="I34" i="4" l="1"/>
  <c r="I26" i="4"/>
  <c r="H14" i="4"/>
  <c r="E31" i="19" l="1"/>
  <c r="E43" i="19"/>
  <c r="E9" i="18" l="1"/>
  <c r="E11" i="18" s="1"/>
  <c r="G11" i="18" s="1"/>
  <c r="G47" i="24"/>
  <c r="I14" i="24"/>
  <c r="E29" i="19" s="1"/>
  <c r="G27" i="25"/>
  <c r="D10" i="13" l="1"/>
  <c r="D11" i="13"/>
  <c r="I15" i="24"/>
  <c r="I7" i="26" l="1"/>
  <c r="M7" i="26" s="1"/>
  <c r="D13" i="4" l="1"/>
  <c r="E15" i="8"/>
  <c r="E12" i="8"/>
  <c r="D10" i="18" l="1"/>
  <c r="G9" i="5"/>
  <c r="F28" i="3"/>
  <c r="D22" i="8" l="1"/>
  <c r="O7" i="26"/>
  <c r="I21" i="25"/>
  <c r="I45" i="25"/>
  <c r="I46" i="25"/>
  <c r="E37" i="25" l="1"/>
  <c r="D38" i="25"/>
  <c r="C15" i="16"/>
  <c r="E9" i="5"/>
  <c r="E20" i="13"/>
  <c r="O17" i="16"/>
  <c r="C23" i="16"/>
  <c r="D9" i="16" s="1"/>
  <c r="H9" i="16" s="1"/>
  <c r="D9" i="19" l="1"/>
  <c r="C45" i="19"/>
  <c r="C14" i="19"/>
  <c r="G24" i="24" l="1"/>
  <c r="G27" i="24"/>
  <c r="E30" i="19" s="1"/>
  <c r="E19" i="24"/>
  <c r="G19" i="24"/>
  <c r="I19" i="24"/>
  <c r="E27" i="19"/>
  <c r="E28" i="19"/>
  <c r="E26" i="19"/>
  <c r="E42" i="19"/>
  <c r="G42" i="24"/>
  <c r="E42" i="24"/>
  <c r="D42" i="24"/>
  <c r="J42" i="24"/>
  <c r="E38" i="24"/>
  <c r="D38" i="24"/>
  <c r="I42" i="24"/>
  <c r="D35" i="24"/>
  <c r="D36" i="24"/>
  <c r="D24" i="24"/>
  <c r="D19" i="24" s="1"/>
  <c r="D15" i="24"/>
  <c r="G17" i="8"/>
  <c r="D9" i="25"/>
  <c r="D47" i="25"/>
  <c r="D37" i="25"/>
  <c r="D35" i="25"/>
  <c r="D33" i="25"/>
  <c r="D32" i="25"/>
  <c r="D31" i="25"/>
  <c r="D29" i="25"/>
  <c r="D19" i="25"/>
  <c r="D12" i="25"/>
  <c r="D13" i="25"/>
  <c r="D11" i="25"/>
  <c r="E10" i="25"/>
  <c r="D10" i="25" s="1"/>
  <c r="E10" i="8"/>
  <c r="D8" i="13"/>
  <c r="I9" i="13"/>
  <c r="J9" i="13" s="1"/>
  <c r="D16" i="4" l="1"/>
  <c r="D18" i="4" s="1"/>
  <c r="D18" i="13"/>
  <c r="E13" i="13" s="1"/>
  <c r="F9" i="13"/>
  <c r="E12" i="19" l="1"/>
  <c r="F12" i="20"/>
  <c r="F10" i="20"/>
  <c r="F14" i="20"/>
  <c r="F11" i="20"/>
  <c r="D15" i="20"/>
  <c r="F13" i="20"/>
  <c r="F8" i="20"/>
  <c r="G15" i="8"/>
  <c r="G12" i="8"/>
  <c r="E52" i="19" s="1"/>
  <c r="M47" i="25" l="1"/>
  <c r="D10" i="16" l="1"/>
  <c r="C19" i="16"/>
  <c r="C16" i="16"/>
  <c r="G13" i="13" s="1"/>
  <c r="C28" i="16" l="1"/>
  <c r="E21" i="3" l="1"/>
  <c r="O14" i="22" l="1"/>
  <c r="P23" i="22"/>
  <c r="E16" i="28" l="1"/>
  <c r="E12" i="28" l="1"/>
  <c r="E62" i="28" s="1"/>
  <c r="C62" i="28"/>
  <c r="C61" i="28"/>
  <c r="C60" i="28"/>
  <c r="E37" i="28"/>
  <c r="C37" i="28"/>
  <c r="C29" i="28"/>
  <c r="C24" i="28"/>
  <c r="C63" i="28"/>
  <c r="C59" i="28"/>
  <c r="C14" i="28"/>
  <c r="C8" i="28"/>
  <c r="C19" i="28" l="1"/>
  <c r="C7" i="28" s="1"/>
  <c r="C36" i="28" s="1"/>
  <c r="C43" i="28" s="1"/>
  <c r="C64" i="28"/>
  <c r="G62" i="28"/>
  <c r="C32" i="19" l="1"/>
  <c r="E51" i="19" l="1"/>
  <c r="E50" i="19"/>
  <c r="E49" i="19"/>
  <c r="G38" i="24"/>
  <c r="C29" i="26" l="1"/>
  <c r="D29" i="26"/>
  <c r="C26" i="26"/>
  <c r="D26" i="26"/>
  <c r="C23" i="26"/>
  <c r="D23" i="26"/>
  <c r="F29" i="26"/>
  <c r="E29" i="26"/>
  <c r="F26" i="26"/>
  <c r="E26" i="26"/>
  <c r="F23" i="26"/>
  <c r="E23" i="26"/>
  <c r="E18" i="19" l="1"/>
  <c r="E18" i="28"/>
  <c r="R7" i="26"/>
  <c r="S7" i="26" s="1"/>
  <c r="I9" i="26"/>
  <c r="G44" i="25" l="1"/>
  <c r="I44" i="25" s="1"/>
  <c r="I41" i="25" s="1"/>
  <c r="J19" i="8"/>
  <c r="I19" i="8"/>
  <c r="E53" i="19" s="1"/>
  <c r="G20" i="8"/>
  <c r="G21" i="8"/>
  <c r="G22" i="8"/>
  <c r="G18" i="8"/>
  <c r="G16" i="8"/>
  <c r="G14" i="8"/>
  <c r="G13" i="8"/>
  <c r="G11" i="8"/>
  <c r="E48" i="19" s="1"/>
  <c r="F19" i="8"/>
  <c r="E19" i="8"/>
  <c r="D20" i="8"/>
  <c r="D21" i="8"/>
  <c r="D18" i="8"/>
  <c r="D17" i="8"/>
  <c r="D16" i="8"/>
  <c r="D15" i="8"/>
  <c r="D14" i="8"/>
  <c r="D13" i="8"/>
  <c r="D12" i="8"/>
  <c r="D11" i="8"/>
  <c r="D10" i="8"/>
  <c r="D9" i="8"/>
  <c r="G19" i="8" l="1"/>
  <c r="J8" i="8"/>
  <c r="F8" i="8"/>
  <c r="D19" i="8" l="1"/>
  <c r="D8" i="8" s="1"/>
  <c r="E8" i="8"/>
  <c r="D23" i="4" s="1"/>
  <c r="L13" i="26" l="1"/>
  <c r="I13" i="26"/>
  <c r="L12" i="26"/>
  <c r="I12" i="26"/>
  <c r="L11" i="26"/>
  <c r="I11" i="26"/>
  <c r="L10" i="26"/>
  <c r="I10" i="26"/>
  <c r="L9" i="26"/>
  <c r="M9" i="26" s="1"/>
  <c r="L8" i="26"/>
  <c r="I8" i="26"/>
  <c r="L7" i="26"/>
  <c r="I14" i="26" l="1"/>
  <c r="M8" i="26"/>
  <c r="O8" i="26" s="1"/>
  <c r="M11" i="26"/>
  <c r="P11" i="26" s="1"/>
  <c r="R11" i="26" s="1"/>
  <c r="M12" i="26"/>
  <c r="P12" i="26" s="1"/>
  <c r="R12" i="26" s="1"/>
  <c r="M13" i="26"/>
  <c r="P13" i="26" s="1"/>
  <c r="R13" i="26" s="1"/>
  <c r="M10" i="26"/>
  <c r="L14" i="26"/>
  <c r="O11" i="26"/>
  <c r="S11" i="26" s="1"/>
  <c r="O9" i="26"/>
  <c r="P9" i="26"/>
  <c r="R9" i="26" s="1"/>
  <c r="O10" i="26"/>
  <c r="G30" i="24" l="1"/>
  <c r="I30" i="24" s="1"/>
  <c r="P8" i="26"/>
  <c r="R8" i="26" s="1"/>
  <c r="O13" i="26"/>
  <c r="S13" i="26" s="1"/>
  <c r="S9" i="26"/>
  <c r="S8" i="26"/>
  <c r="G29" i="24"/>
  <c r="P10" i="26"/>
  <c r="R10" i="26" s="1"/>
  <c r="G31" i="24" s="1"/>
  <c r="O12" i="26"/>
  <c r="S12" i="26" s="1"/>
  <c r="M14" i="26"/>
  <c r="S10" i="26" l="1"/>
  <c r="S14" i="26" s="1"/>
  <c r="O14" i="26"/>
  <c r="P14" i="26"/>
  <c r="R14" i="26"/>
  <c r="M13" i="25" l="1"/>
  <c r="E27" i="25"/>
  <c r="M11" i="25"/>
  <c r="M12" i="25"/>
  <c r="M14" i="25"/>
  <c r="M15" i="25"/>
  <c r="M16" i="25"/>
  <c r="M18" i="25"/>
  <c r="M20" i="25"/>
  <c r="M22" i="25"/>
  <c r="M23" i="25"/>
  <c r="M24" i="25"/>
  <c r="M25" i="25"/>
  <c r="M26" i="25"/>
  <c r="M28" i="25"/>
  <c r="M29" i="25"/>
  <c r="M30" i="25"/>
  <c r="M32" i="25"/>
  <c r="M35" i="25"/>
  <c r="M36" i="25"/>
  <c r="M37" i="25"/>
  <c r="M38" i="25"/>
  <c r="M39" i="25"/>
  <c r="M40" i="25"/>
  <c r="M42" i="25"/>
  <c r="M43" i="25"/>
  <c r="M44" i="25"/>
  <c r="M48" i="25"/>
  <c r="M49" i="25"/>
  <c r="M45" i="25"/>
  <c r="D27" i="25"/>
  <c r="M19" i="25"/>
  <c r="M31" i="25" l="1"/>
  <c r="M33" i="25"/>
  <c r="M10" i="25"/>
  <c r="M9" i="25"/>
  <c r="J46" i="25"/>
  <c r="F46" i="25"/>
  <c r="E46" i="25"/>
  <c r="D46" i="25"/>
  <c r="D41" i="25"/>
  <c r="G41" i="25"/>
  <c r="F41" i="25"/>
  <c r="E41" i="25"/>
  <c r="F34" i="25"/>
  <c r="E34" i="25"/>
  <c r="D34" i="25"/>
  <c r="G21" i="25"/>
  <c r="G17" i="25" s="1"/>
  <c r="F17" i="25"/>
  <c r="E21" i="25"/>
  <c r="E17" i="25" s="1"/>
  <c r="D21" i="25"/>
  <c r="M41" i="25" l="1"/>
  <c r="D17" i="25"/>
  <c r="M21" i="25"/>
  <c r="M34" i="25"/>
  <c r="E8" i="25"/>
  <c r="D22" i="4" s="1"/>
  <c r="M46" i="25"/>
  <c r="F27" i="25"/>
  <c r="M27" i="25" s="1"/>
  <c r="E3" i="25" l="1"/>
  <c r="F8" i="25"/>
  <c r="F3" i="25" s="1"/>
  <c r="M17" i="25"/>
  <c r="D8" i="25"/>
  <c r="D3" i="25" s="1"/>
  <c r="E53" i="24"/>
  <c r="D53" i="24"/>
  <c r="G53" i="24"/>
  <c r="H53" i="24"/>
  <c r="I53" i="24"/>
  <c r="J53" i="24"/>
  <c r="E32" i="24"/>
  <c r="D32" i="24"/>
  <c r="M8" i="25" l="1"/>
  <c r="F53" i="24"/>
  <c r="F32" i="24"/>
  <c r="F31" i="24"/>
  <c r="F28" i="24" s="1"/>
  <c r="E9" i="24"/>
  <c r="D9" i="24"/>
  <c r="F26" i="24" l="1"/>
  <c r="D28" i="24"/>
  <c r="D26" i="24" s="1"/>
  <c r="D8" i="24" s="1"/>
  <c r="D21" i="4" s="1"/>
  <c r="F9" i="24" l="1"/>
  <c r="F8" i="24" l="1"/>
  <c r="J38" i="24" l="1"/>
  <c r="I38" i="24"/>
  <c r="G16" i="13"/>
  <c r="C18" i="16"/>
  <c r="G15" i="13" s="1"/>
  <c r="C17" i="16"/>
  <c r="G14" i="13" s="1"/>
  <c r="G12" i="13" l="1"/>
  <c r="D20" i="13"/>
  <c r="D21" i="13"/>
  <c r="E21" i="13" s="1"/>
  <c r="D12" i="13"/>
  <c r="E7" i="13"/>
  <c r="F7" i="13"/>
  <c r="D7" i="13"/>
  <c r="F13" i="13" l="1"/>
  <c r="F18" i="13" s="1"/>
  <c r="D17" i="13"/>
  <c r="F19" i="13"/>
  <c r="F15" i="13"/>
  <c r="F20" i="13" s="1"/>
  <c r="E18" i="13" l="1"/>
  <c r="E12" i="13"/>
  <c r="E17" i="13" s="1"/>
  <c r="F12" i="13"/>
  <c r="F17" i="13" s="1"/>
  <c r="F29" i="4"/>
  <c r="F27" i="4" s="1"/>
  <c r="H29" i="4"/>
  <c r="H27" i="4" s="1"/>
  <c r="D29" i="4"/>
  <c r="D27" i="4" s="1"/>
  <c r="F17" i="4"/>
  <c r="D17" i="4"/>
  <c r="F11" i="4"/>
  <c r="H38" i="4"/>
  <c r="H36" i="4"/>
  <c r="F10" i="4" l="1"/>
  <c r="F26" i="4" s="1"/>
  <c r="F34" i="4" s="1"/>
  <c r="E57" i="19" l="1"/>
  <c r="C57" i="19"/>
  <c r="C19" i="19" l="1"/>
  <c r="E10" i="5" l="1"/>
  <c r="F9" i="9"/>
  <c r="D12" i="4" s="1"/>
  <c r="D11" i="4" s="1"/>
  <c r="C8" i="19"/>
  <c r="C7" i="19" l="1"/>
  <c r="C56" i="19" s="1"/>
  <c r="C63" i="19" s="1"/>
  <c r="D8" i="16"/>
  <c r="H8" i="16" s="1"/>
  <c r="K13" i="16"/>
  <c r="K9" i="16"/>
  <c r="K8" i="16"/>
  <c r="K7" i="16"/>
  <c r="D11" i="16" l="1"/>
  <c r="D13" i="16"/>
  <c r="H13" i="16" s="1"/>
  <c r="D7" i="16"/>
  <c r="D6" i="16"/>
  <c r="H6" i="16" s="1"/>
  <c r="D12" i="16"/>
  <c r="H12" i="16" s="1"/>
  <c r="D14" i="16"/>
  <c r="H14" i="16" s="1"/>
  <c r="J14" i="16" s="1"/>
  <c r="L8" i="16"/>
  <c r="J6" i="16" l="1"/>
  <c r="H7" i="16"/>
  <c r="L7" i="16" s="1"/>
  <c r="J12" i="16"/>
  <c r="K12" i="16" s="1"/>
  <c r="L12" i="16" s="1"/>
  <c r="H11" i="16"/>
  <c r="J11" i="16" s="1"/>
  <c r="K11" i="16" s="1"/>
  <c r="L11" i="16" s="1"/>
  <c r="L9" i="16"/>
  <c r="N9" i="16" s="1"/>
  <c r="O9" i="16" s="1"/>
  <c r="K6" i="16"/>
  <c r="K14" i="16"/>
  <c r="L13" i="16"/>
  <c r="N8" i="16"/>
  <c r="O8" i="16" s="1"/>
  <c r="M8" i="16"/>
  <c r="F10" i="5"/>
  <c r="G10" i="5" s="1"/>
  <c r="N11" i="16" l="1"/>
  <c r="O11" i="16" s="1"/>
  <c r="M11" i="16"/>
  <c r="M7" i="16"/>
  <c r="N7" i="16"/>
  <c r="O7" i="16" s="1"/>
  <c r="O19" i="16"/>
  <c r="G11" i="13" s="1"/>
  <c r="G21" i="13" s="1"/>
  <c r="L6" i="16"/>
  <c r="M6" i="16" s="1"/>
  <c r="N13" i="16"/>
  <c r="O13" i="16" s="1"/>
  <c r="M13" i="16"/>
  <c r="L14" i="16"/>
  <c r="M14" i="16" s="1"/>
  <c r="M9" i="16"/>
  <c r="G10" i="24"/>
  <c r="F9" i="5"/>
  <c r="N6" i="16" l="1"/>
  <c r="O6" i="16" s="1"/>
  <c r="O18" i="16" s="1"/>
  <c r="G10" i="13" s="1"/>
  <c r="G9" i="25" s="1"/>
  <c r="M12" i="16"/>
  <c r="N12" i="16"/>
  <c r="N14" i="16"/>
  <c r="O14" i="16" s="1"/>
  <c r="I10" i="24"/>
  <c r="G11" i="24"/>
  <c r="G9" i="24" s="1"/>
  <c r="G8" i="9"/>
  <c r="I8" i="9" s="1"/>
  <c r="F11" i="3"/>
  <c r="F19" i="3"/>
  <c r="F21" i="3"/>
  <c r="O28" i="22"/>
  <c r="AC25" i="22"/>
  <c r="P25" i="22"/>
  <c r="D32" i="3" s="1"/>
  <c r="AC24" i="22"/>
  <c r="P24" i="22"/>
  <c r="D31" i="3" s="1"/>
  <c r="D38" i="4" s="1"/>
  <c r="AC23" i="22"/>
  <c r="D30" i="3"/>
  <c r="AC22" i="22"/>
  <c r="P22" i="22"/>
  <c r="D29" i="3" s="1"/>
  <c r="AB21" i="22"/>
  <c r="AA21" i="22"/>
  <c r="Z21" i="22"/>
  <c r="Y21" i="22"/>
  <c r="X21" i="22"/>
  <c r="W21" i="22"/>
  <c r="V21" i="22"/>
  <c r="U21" i="22"/>
  <c r="T21" i="22"/>
  <c r="S21" i="22"/>
  <c r="R21" i="22"/>
  <c r="Q21" i="22"/>
  <c r="O21" i="22"/>
  <c r="O27" i="22" s="1"/>
  <c r="N21" i="22"/>
  <c r="N27" i="22" s="1"/>
  <c r="M21" i="22"/>
  <c r="M27" i="22" s="1"/>
  <c r="L21" i="22"/>
  <c r="L27" i="22" s="1"/>
  <c r="K21" i="22"/>
  <c r="K27" i="22" s="1"/>
  <c r="J21" i="22"/>
  <c r="J27" i="22" s="1"/>
  <c r="I21" i="22"/>
  <c r="I27" i="22" s="1"/>
  <c r="H21" i="22"/>
  <c r="H27" i="22" s="1"/>
  <c r="G21" i="22"/>
  <c r="G27" i="22" s="1"/>
  <c r="F21" i="22"/>
  <c r="F27" i="22" s="1"/>
  <c r="E21" i="22"/>
  <c r="E27" i="22" s="1"/>
  <c r="D21" i="22"/>
  <c r="AC18" i="22"/>
  <c r="P18" i="22"/>
  <c r="D25" i="3" s="1"/>
  <c r="AC17" i="22"/>
  <c r="P17" i="22"/>
  <c r="D24" i="3" s="1"/>
  <c r="AC16" i="22"/>
  <c r="P16" i="22"/>
  <c r="D23" i="3" s="1"/>
  <c r="AB14" i="22"/>
  <c r="AA14" i="22"/>
  <c r="Z14" i="22"/>
  <c r="Y14" i="22"/>
  <c r="X14" i="22"/>
  <c r="W14" i="22"/>
  <c r="V14" i="22"/>
  <c r="U14" i="22"/>
  <c r="T14" i="22"/>
  <c r="S14" i="22"/>
  <c r="R14" i="22"/>
  <c r="Q14" i="22"/>
  <c r="N14" i="22"/>
  <c r="M14" i="22"/>
  <c r="L14" i="22"/>
  <c r="K14" i="22"/>
  <c r="J14" i="22"/>
  <c r="I14" i="22"/>
  <c r="H14" i="22"/>
  <c r="G14" i="22"/>
  <c r="F14" i="22"/>
  <c r="E14" i="22"/>
  <c r="D14" i="22"/>
  <c r="AC13" i="22"/>
  <c r="P13" i="22"/>
  <c r="D20" i="3" s="1"/>
  <c r="AB12" i="22"/>
  <c r="AA12" i="22"/>
  <c r="Z12" i="22"/>
  <c r="Y12" i="22"/>
  <c r="X12" i="22"/>
  <c r="W12" i="22"/>
  <c r="V12" i="22"/>
  <c r="U12" i="22"/>
  <c r="T12" i="22"/>
  <c r="S12" i="22"/>
  <c r="R12" i="22"/>
  <c r="Q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AC11" i="22"/>
  <c r="P11" i="22"/>
  <c r="D18" i="3" s="1"/>
  <c r="AC10" i="22"/>
  <c r="P10" i="22"/>
  <c r="D17" i="3" s="1"/>
  <c r="AC9" i="22"/>
  <c r="P9" i="22"/>
  <c r="D16" i="3" s="1"/>
  <c r="AC8" i="22"/>
  <c r="P8" i="22"/>
  <c r="D15" i="3" s="1"/>
  <c r="AC7" i="22"/>
  <c r="P7" i="22"/>
  <c r="D14" i="3" s="1"/>
  <c r="AC6" i="22"/>
  <c r="P6" i="22"/>
  <c r="D13" i="3" s="1"/>
  <c r="AC5" i="22"/>
  <c r="P5" i="22"/>
  <c r="D12" i="3" s="1"/>
  <c r="AB4" i="22"/>
  <c r="AA4" i="22"/>
  <c r="Z4" i="22"/>
  <c r="Y4" i="22"/>
  <c r="X4" i="22"/>
  <c r="W4" i="22"/>
  <c r="V4" i="22"/>
  <c r="U4" i="22"/>
  <c r="T4" i="22"/>
  <c r="S4" i="22"/>
  <c r="R4" i="22"/>
  <c r="Q4" i="22"/>
  <c r="O4" i="22"/>
  <c r="N4" i="22"/>
  <c r="M4" i="22"/>
  <c r="L4" i="22"/>
  <c r="K4" i="22"/>
  <c r="J4" i="22"/>
  <c r="I4" i="22"/>
  <c r="H4" i="22"/>
  <c r="G4" i="22"/>
  <c r="F4" i="22"/>
  <c r="E4" i="22"/>
  <c r="D4" i="22"/>
  <c r="G20" i="13" l="1"/>
  <c r="T19" i="22"/>
  <c r="T20" i="22" s="1"/>
  <c r="X19" i="22"/>
  <c r="X20" i="22" s="1"/>
  <c r="AB19" i="22"/>
  <c r="AB20" i="22" s="1"/>
  <c r="G10" i="25"/>
  <c r="O19" i="22"/>
  <c r="O20" i="22" s="1"/>
  <c r="D19" i="22"/>
  <c r="D27" i="22"/>
  <c r="P27" i="22" s="1"/>
  <c r="P28" i="22" s="1"/>
  <c r="O12" i="16"/>
  <c r="O16" i="16" s="1"/>
  <c r="G8" i="13" s="1"/>
  <c r="I8" i="13" s="1"/>
  <c r="N15" i="16"/>
  <c r="D37" i="4"/>
  <c r="C10" i="5"/>
  <c r="D10" i="5" s="1"/>
  <c r="K19" i="22"/>
  <c r="K20" i="22" s="1"/>
  <c r="G19" i="22"/>
  <c r="G20" i="22" s="1"/>
  <c r="Q15" i="22"/>
  <c r="J10" i="24"/>
  <c r="J11" i="24" s="1"/>
  <c r="J9" i="24" s="1"/>
  <c r="H19" i="22"/>
  <c r="H20" i="22" s="1"/>
  <c r="L19" i="22"/>
  <c r="L20" i="22" s="1"/>
  <c r="Q19" i="22"/>
  <c r="Q20" i="22" s="1"/>
  <c r="U19" i="22"/>
  <c r="U20" i="22" s="1"/>
  <c r="Y19" i="22"/>
  <c r="Y20" i="22" s="1"/>
  <c r="D28" i="3"/>
  <c r="H28" i="3" s="1"/>
  <c r="D36" i="4"/>
  <c r="I11" i="24"/>
  <c r="E20" i="28"/>
  <c r="H10" i="24"/>
  <c r="E20" i="19"/>
  <c r="D8" i="9"/>
  <c r="E8" i="9" s="1"/>
  <c r="D19" i="3"/>
  <c r="D11" i="3"/>
  <c r="D21" i="3"/>
  <c r="P4" i="22"/>
  <c r="AC4" i="22"/>
  <c r="F19" i="22"/>
  <c r="F20" i="22" s="1"/>
  <c r="J19" i="22"/>
  <c r="J20" i="22" s="1"/>
  <c r="N19" i="22"/>
  <c r="N20" i="22" s="1"/>
  <c r="S19" i="22"/>
  <c r="S20" i="22" s="1"/>
  <c r="W19" i="22"/>
  <c r="W20" i="22" s="1"/>
  <c r="AA19" i="22"/>
  <c r="AA20" i="22" s="1"/>
  <c r="D15" i="22"/>
  <c r="AC21" i="22"/>
  <c r="E19" i="22"/>
  <c r="E20" i="22" s="1"/>
  <c r="I19" i="22"/>
  <c r="I20" i="22" s="1"/>
  <c r="M19" i="22"/>
  <c r="M20" i="22" s="1"/>
  <c r="R19" i="22"/>
  <c r="R20" i="22" s="1"/>
  <c r="V19" i="22"/>
  <c r="V20" i="22" s="1"/>
  <c r="Z19" i="22"/>
  <c r="Z20" i="22" s="1"/>
  <c r="F22" i="3"/>
  <c r="E15" i="22"/>
  <c r="F15" i="22"/>
  <c r="G15" i="22"/>
  <c r="H15" i="22"/>
  <c r="I15" i="22"/>
  <c r="J15" i="22"/>
  <c r="K15" i="22"/>
  <c r="L15" i="22"/>
  <c r="M15" i="22"/>
  <c r="N15" i="22"/>
  <c r="O15" i="22"/>
  <c r="R15" i="22"/>
  <c r="S15" i="22"/>
  <c r="T15" i="22"/>
  <c r="U15" i="22"/>
  <c r="V15" i="22"/>
  <c r="W15" i="22"/>
  <c r="X15" i="22"/>
  <c r="Y15" i="22"/>
  <c r="Z15" i="22"/>
  <c r="AA15" i="22"/>
  <c r="AB15" i="22"/>
  <c r="D20" i="22"/>
  <c r="P12" i="22"/>
  <c r="AC12" i="22"/>
  <c r="P14" i="22"/>
  <c r="AC14" i="22"/>
  <c r="P21" i="22"/>
  <c r="F38" i="4"/>
  <c r="F37" i="4"/>
  <c r="E19" i="3"/>
  <c r="E11" i="3"/>
  <c r="D35" i="4" l="1"/>
  <c r="E47" i="28"/>
  <c r="H37" i="4"/>
  <c r="H35" i="4" s="1"/>
  <c r="P15" i="22"/>
  <c r="O15" i="16"/>
  <c r="C9" i="5"/>
  <c r="D9" i="5" s="1"/>
  <c r="D26" i="3"/>
  <c r="D27" i="3" s="1"/>
  <c r="I9" i="24"/>
  <c r="H9" i="24" s="1"/>
  <c r="H11" i="24"/>
  <c r="E22" i="3"/>
  <c r="D22" i="3"/>
  <c r="E33" i="4"/>
  <c r="E12" i="4"/>
  <c r="E24" i="4"/>
  <c r="E25" i="4"/>
  <c r="P19" i="22"/>
  <c r="P20" i="22" s="1"/>
  <c r="E21" i="28"/>
  <c r="E21" i="19"/>
  <c r="J15" i="24"/>
  <c r="AC15" i="22"/>
  <c r="AC19" i="22"/>
  <c r="AC20" i="22" s="1"/>
  <c r="E21" i="4" l="1"/>
  <c r="E23" i="4"/>
  <c r="E22" i="4"/>
  <c r="E14" i="4"/>
  <c r="E18" i="4"/>
  <c r="E13" i="4"/>
  <c r="E28" i="4"/>
  <c r="E30" i="4"/>
  <c r="E32" i="4"/>
  <c r="E31" i="4"/>
  <c r="E16" i="4"/>
  <c r="E15" i="4"/>
  <c r="E20" i="4"/>
  <c r="E19" i="4"/>
  <c r="I20" i="4"/>
  <c r="I28" i="4"/>
  <c r="I25" i="4"/>
  <c r="I15" i="4"/>
  <c r="I31" i="4"/>
  <c r="I19" i="4"/>
  <c r="I33" i="4"/>
  <c r="I24" i="4"/>
  <c r="I13" i="4"/>
  <c r="I30" i="4"/>
  <c r="I32" i="4"/>
  <c r="J8" i="13"/>
  <c r="G7" i="13"/>
  <c r="L7" i="13" s="1"/>
  <c r="G18" i="13"/>
  <c r="I13" i="13" s="1"/>
  <c r="E67" i="19"/>
  <c r="F26" i="3"/>
  <c r="F27" i="3" s="1"/>
  <c r="E23" i="19"/>
  <c r="J29" i="24"/>
  <c r="F9" i="20"/>
  <c r="F7" i="20"/>
  <c r="F6" i="20"/>
  <c r="F15" i="20"/>
  <c r="F5" i="20"/>
  <c r="E29" i="4" l="1"/>
  <c r="E27" i="4" s="1"/>
  <c r="I29" i="4"/>
  <c r="I27" i="4" s="1"/>
  <c r="F23" i="19"/>
  <c r="F11" i="28"/>
  <c r="F40" i="28"/>
  <c r="F32" i="28"/>
  <c r="F16" i="28"/>
  <c r="F12" i="28"/>
  <c r="F62" i="28" s="1"/>
  <c r="F34" i="28"/>
  <c r="F27" i="28"/>
  <c r="F17" i="28"/>
  <c r="F41" i="28"/>
  <c r="F20" i="28"/>
  <c r="F22" i="28"/>
  <c r="F39" i="28"/>
  <c r="F35" i="28"/>
  <c r="F18" i="28"/>
  <c r="F42" i="28"/>
  <c r="F38" i="28"/>
  <c r="G17" i="13"/>
  <c r="J13" i="13"/>
  <c r="J10" i="13"/>
  <c r="I10" i="13" s="1"/>
  <c r="I9" i="25" s="1"/>
  <c r="I10" i="25" s="1"/>
  <c r="F30" i="19"/>
  <c r="F59" i="19"/>
  <c r="F53" i="19"/>
  <c r="F49" i="19"/>
  <c r="F42" i="19"/>
  <c r="F29" i="19"/>
  <c r="F22" i="19"/>
  <c r="F16" i="19"/>
  <c r="F58" i="19"/>
  <c r="F28" i="19"/>
  <c r="F48" i="19"/>
  <c r="F61" i="19"/>
  <c r="F55" i="19"/>
  <c r="F51" i="19"/>
  <c r="F35" i="19"/>
  <c r="F27" i="19"/>
  <c r="F18" i="19"/>
  <c r="F11" i="19"/>
  <c r="F62" i="19"/>
  <c r="F41" i="19"/>
  <c r="F12" i="19"/>
  <c r="F60" i="19"/>
  <c r="F54" i="19"/>
  <c r="F50" i="19"/>
  <c r="F43" i="19"/>
  <c r="F31" i="19"/>
  <c r="F26" i="19"/>
  <c r="F17" i="19"/>
  <c r="F52" i="19"/>
  <c r="F20" i="19"/>
  <c r="I18" i="13"/>
  <c r="H16" i="4"/>
  <c r="F21" i="19"/>
  <c r="F21" i="28"/>
  <c r="F16" i="20"/>
  <c r="G36" i="24" s="1"/>
  <c r="I36" i="24" s="1"/>
  <c r="J36" i="24" s="1"/>
  <c r="J32" i="24" s="1"/>
  <c r="J31" i="24"/>
  <c r="J28" i="24" s="1"/>
  <c r="J26" i="24" s="1"/>
  <c r="F37" i="28" l="1"/>
  <c r="H18" i="4"/>
  <c r="I16" i="4"/>
  <c r="E13" i="28"/>
  <c r="E13" i="19"/>
  <c r="F13" i="19" s="1"/>
  <c r="J15" i="13"/>
  <c r="H13" i="13"/>
  <c r="F57" i="19"/>
  <c r="G32" i="24"/>
  <c r="J8" i="24"/>
  <c r="I32" i="24"/>
  <c r="E25" i="19"/>
  <c r="I9" i="9"/>
  <c r="H12" i="4" s="1"/>
  <c r="I12" i="4" s="1"/>
  <c r="K7" i="10"/>
  <c r="Q7" i="10"/>
  <c r="L7" i="10"/>
  <c r="P7" i="10"/>
  <c r="O7" i="10"/>
  <c r="N7" i="10"/>
  <c r="M7" i="10"/>
  <c r="F13" i="28" l="1"/>
  <c r="H10" i="13"/>
  <c r="I15" i="13"/>
  <c r="E15" i="19"/>
  <c r="H17" i="4"/>
  <c r="E15" i="28"/>
  <c r="I18" i="4"/>
  <c r="I17" i="4" s="1"/>
  <c r="F25" i="19"/>
  <c r="E10" i="19"/>
  <c r="E10" i="28"/>
  <c r="J10" i="5"/>
  <c r="K10" i="5" s="1"/>
  <c r="J9" i="5"/>
  <c r="K9" i="5" s="1"/>
  <c r="F10" i="19" l="1"/>
  <c r="F10" i="28"/>
  <c r="E14" i="28"/>
  <c r="F15" i="28"/>
  <c r="F14" i="28" s="1"/>
  <c r="H15" i="13"/>
  <c r="I20" i="13"/>
  <c r="E14" i="19"/>
  <c r="F15" i="19"/>
  <c r="F14" i="19" s="1"/>
  <c r="E60" i="28"/>
  <c r="H11" i="4"/>
  <c r="E9" i="19" l="1"/>
  <c r="E9" i="28"/>
  <c r="E8" i="28" s="1"/>
  <c r="I14" i="4"/>
  <c r="I11" i="4" s="1"/>
  <c r="F60" i="28"/>
  <c r="G60" i="28"/>
  <c r="F9" i="19" l="1"/>
  <c r="F8" i="19" s="1"/>
  <c r="E8" i="19"/>
  <c r="E28" i="3"/>
  <c r="E26" i="3" s="1"/>
  <c r="E27" i="3" s="1"/>
  <c r="F36" i="4"/>
  <c r="F35" i="4" s="1"/>
  <c r="G40" i="4" s="1"/>
  <c r="G42" i="4" s="1"/>
  <c r="F9" i="28"/>
  <c r="E61" i="28"/>
  <c r="G35" i="4" l="1"/>
  <c r="G32" i="4"/>
  <c r="G20" i="4"/>
  <c r="G13" i="4"/>
  <c r="G21" i="4"/>
  <c r="G23" i="4"/>
  <c r="G33" i="4"/>
  <c r="G25" i="4"/>
  <c r="G19" i="4"/>
  <c r="G14" i="4"/>
  <c r="G16" i="4"/>
  <c r="G28" i="4"/>
  <c r="G31" i="4"/>
  <c r="G22" i="4"/>
  <c r="G18" i="4"/>
  <c r="G30" i="4"/>
  <c r="G24" i="4"/>
  <c r="G15" i="4"/>
  <c r="G12" i="4"/>
  <c r="C47" i="28"/>
  <c r="C65" i="19"/>
  <c r="C69" i="19" s="1"/>
  <c r="G61" i="28"/>
  <c r="F61" i="28"/>
  <c r="F8" i="28"/>
  <c r="D11" i="28" l="1"/>
  <c r="C45" i="28"/>
  <c r="G29" i="4"/>
  <c r="G27" i="4" s="1"/>
  <c r="G11" i="4"/>
  <c r="G17" i="4"/>
  <c r="D47" i="19"/>
  <c r="D51" i="19"/>
  <c r="D37" i="19"/>
  <c r="D41" i="19"/>
  <c r="D27" i="19"/>
  <c r="D31" i="19"/>
  <c r="D22" i="19"/>
  <c r="D59" i="19"/>
  <c r="D62" i="19"/>
  <c r="D54" i="19"/>
  <c r="D10" i="19"/>
  <c r="D61" i="19"/>
  <c r="D20" i="19"/>
  <c r="D48" i="19"/>
  <c r="D52" i="19"/>
  <c r="D38" i="19"/>
  <c r="D42" i="19"/>
  <c r="D28" i="19"/>
  <c r="D23" i="19"/>
  <c r="D18" i="19"/>
  <c r="D17" i="19"/>
  <c r="D46" i="19"/>
  <c r="D58" i="19"/>
  <c r="D55" i="19"/>
  <c r="D49" i="19"/>
  <c r="D53" i="19"/>
  <c r="D39" i="19"/>
  <c r="D43" i="19"/>
  <c r="D29" i="19"/>
  <c r="D26" i="19"/>
  <c r="D24" i="19"/>
  <c r="D13" i="19"/>
  <c r="D11" i="19"/>
  <c r="D33" i="19"/>
  <c r="D35" i="19"/>
  <c r="D34" i="19"/>
  <c r="D50" i="19"/>
  <c r="D36" i="19"/>
  <c r="D40" i="19"/>
  <c r="D44" i="19"/>
  <c r="D30" i="19"/>
  <c r="D21" i="19"/>
  <c r="D25" i="19"/>
  <c r="D60" i="19"/>
  <c r="D15" i="19"/>
  <c r="D12" i="19"/>
  <c r="D16" i="19"/>
  <c r="D41" i="28"/>
  <c r="D34" i="28"/>
  <c r="D30" i="28"/>
  <c r="D27" i="28"/>
  <c r="D16" i="28"/>
  <c r="D13" i="28"/>
  <c r="D10" i="28"/>
  <c r="D60" i="28" s="1"/>
  <c r="D40" i="28"/>
  <c r="D33" i="28"/>
  <c r="D26" i="28"/>
  <c r="D15" i="28"/>
  <c r="D9" i="28"/>
  <c r="D39" i="28"/>
  <c r="D32" i="28"/>
  <c r="D25" i="28"/>
  <c r="D22" i="28"/>
  <c r="D18" i="28"/>
  <c r="D12" i="28"/>
  <c r="D62" i="28" s="1"/>
  <c r="D42" i="28"/>
  <c r="D38" i="28"/>
  <c r="D35" i="28"/>
  <c r="D31" i="28"/>
  <c r="D28" i="28"/>
  <c r="D17" i="28"/>
  <c r="D23" i="28"/>
  <c r="D20" i="28"/>
  <c r="D21" i="28"/>
  <c r="E11" i="4"/>
  <c r="E17" i="4"/>
  <c r="D8" i="19" l="1"/>
  <c r="D59" i="28"/>
  <c r="D14" i="19"/>
  <c r="D24" i="28"/>
  <c r="D14" i="28"/>
  <c r="H60" i="28"/>
  <c r="D29" i="28"/>
  <c r="D63" i="28"/>
  <c r="H62" i="28"/>
  <c r="D58" i="28"/>
  <c r="D57" i="19"/>
  <c r="G10" i="4"/>
  <c r="G26" i="4" s="1"/>
  <c r="G34" i="4" s="1"/>
  <c r="D32" i="19"/>
  <c r="D45" i="19"/>
  <c r="D19" i="28"/>
  <c r="D37" i="28"/>
  <c r="D61" i="28"/>
  <c r="D8" i="28"/>
  <c r="D19" i="19"/>
  <c r="E28" i="24"/>
  <c r="D7" i="19" l="1"/>
  <c r="D56" i="19"/>
  <c r="D7" i="28"/>
  <c r="D36" i="28" s="1"/>
  <c r="H61" i="28"/>
  <c r="D64" i="28"/>
  <c r="I61" i="28" s="1"/>
  <c r="E26" i="24"/>
  <c r="E8" i="24" s="1"/>
  <c r="I58" i="28" l="1"/>
  <c r="I59" i="28"/>
  <c r="I60" i="28"/>
  <c r="I62" i="28"/>
  <c r="I63" i="28"/>
  <c r="D10" i="4"/>
  <c r="D26" i="4" s="1"/>
  <c r="D34" i="4" s="1"/>
  <c r="E40" i="4" s="1"/>
  <c r="E42" i="4" s="1"/>
  <c r="E10" i="4"/>
  <c r="E26" i="4" s="1"/>
  <c r="E34" i="4" s="1"/>
  <c r="E35" i="4" l="1"/>
  <c r="I11" i="13"/>
  <c r="J11" i="13" l="1"/>
  <c r="I9" i="8"/>
  <c r="G9" i="8" s="1"/>
  <c r="I7" i="13"/>
  <c r="I16" i="13"/>
  <c r="I12" i="13" s="1"/>
  <c r="I10" i="8" l="1"/>
  <c r="H12" i="13"/>
  <c r="E46" i="19"/>
  <c r="E30" i="28"/>
  <c r="I17" i="13"/>
  <c r="H7" i="13"/>
  <c r="H16" i="13"/>
  <c r="I21" i="13"/>
  <c r="E47" i="19" l="1"/>
  <c r="F47" i="19" s="1"/>
  <c r="G10" i="8"/>
  <c r="G8" i="8" s="1"/>
  <c r="M8" i="8" s="1"/>
  <c r="E31" i="28"/>
  <c r="I8" i="8"/>
  <c r="H23" i="4" s="1"/>
  <c r="I23" i="4" s="1"/>
  <c r="F46" i="19"/>
  <c r="F30" i="28"/>
  <c r="F45" i="19" l="1"/>
  <c r="E45" i="19"/>
  <c r="F31" i="28"/>
  <c r="E33" i="28"/>
  <c r="E29" i="28" l="1"/>
  <c r="F33" i="28"/>
  <c r="F29" i="28" l="1"/>
  <c r="G28" i="24"/>
  <c r="G26" i="24" s="1"/>
  <c r="G8" i="24" s="1"/>
  <c r="I28" i="24"/>
  <c r="I26" i="24" l="1"/>
  <c r="H28" i="24"/>
  <c r="E24" i="19"/>
  <c r="I8" i="24" l="1"/>
  <c r="F24" i="19"/>
  <c r="F19" i="19" s="1"/>
  <c r="F7" i="19" s="1"/>
  <c r="E19" i="19"/>
  <c r="E7" i="19" s="1"/>
  <c r="H21" i="4" l="1"/>
  <c r="L8" i="24"/>
  <c r="H10" i="4"/>
  <c r="H26" i="4" s="1"/>
  <c r="I21" i="4"/>
  <c r="I10" i="4" s="1"/>
  <c r="E23" i="28"/>
  <c r="F23" i="28" s="1"/>
  <c r="E19" i="28" l="1"/>
  <c r="E7" i="28" s="1"/>
  <c r="F19" i="28"/>
  <c r="F7" i="28" s="1"/>
  <c r="H10" i="25"/>
  <c r="E34" i="19"/>
  <c r="F34" i="19" s="1"/>
  <c r="J45" i="25"/>
  <c r="E26" i="28"/>
  <c r="G47" i="25"/>
  <c r="G46" i="25" s="1"/>
  <c r="E44" i="19" s="1"/>
  <c r="F44" i="19" s="1"/>
  <c r="E25" i="28"/>
  <c r="E58" i="28" s="1"/>
  <c r="E38" i="19"/>
  <c r="F38" i="19" s="1"/>
  <c r="J44" i="25"/>
  <c r="J41" i="25" s="1"/>
  <c r="G35" i="25"/>
  <c r="G34" i="25"/>
  <c r="G8" i="25" s="1"/>
  <c r="L8" i="25" s="1"/>
  <c r="E33" i="19"/>
  <c r="H9" i="25"/>
  <c r="H19" i="25" s="1"/>
  <c r="I19" i="25" s="1"/>
  <c r="G58" i="28" l="1"/>
  <c r="I17" i="25"/>
  <c r="J17" i="25"/>
  <c r="G59" i="28"/>
  <c r="F25" i="28"/>
  <c r="H32" i="25"/>
  <c r="I32" i="25" s="1"/>
  <c r="F33" i="19"/>
  <c r="F26" i="28"/>
  <c r="F59" i="28" s="1"/>
  <c r="H59" i="28" s="1"/>
  <c r="H38" i="25"/>
  <c r="I38" i="25" s="1"/>
  <c r="H33" i="25"/>
  <c r="I33" i="25" s="1"/>
  <c r="J33" i="25" s="1"/>
  <c r="J27" i="25" s="1"/>
  <c r="H37" i="25"/>
  <c r="I37" i="25" s="1"/>
  <c r="I27" i="25" l="1"/>
  <c r="E36" i="19" s="1"/>
  <c r="I34" i="25"/>
  <c r="E37" i="19" s="1"/>
  <c r="F37" i="19" s="1"/>
  <c r="J37" i="25"/>
  <c r="J34" i="25" s="1"/>
  <c r="E40" i="19"/>
  <c r="F40" i="19" s="1"/>
  <c r="J38" i="25"/>
  <c r="F58" i="28"/>
  <c r="E39" i="19"/>
  <c r="F39" i="19" s="1"/>
  <c r="J8" i="25" l="1"/>
  <c r="I8" i="25"/>
  <c r="H22" i="4" s="1"/>
  <c r="H58" i="28"/>
  <c r="F36" i="19"/>
  <c r="F32" i="19" s="1"/>
  <c r="F56" i="19" s="1"/>
  <c r="E32" i="19"/>
  <c r="E56" i="19" l="1"/>
  <c r="E63" i="19" s="1"/>
  <c r="E65" i="19" s="1"/>
  <c r="H65" i="19" s="1"/>
  <c r="H34" i="4"/>
  <c r="I22" i="4"/>
  <c r="E28" i="28"/>
  <c r="E69" i="19" l="1"/>
  <c r="H69" i="19" s="1"/>
  <c r="I40" i="4"/>
  <c r="I42" i="4" s="1"/>
  <c r="I35" i="4"/>
  <c r="E63" i="28"/>
  <c r="F28" i="28"/>
  <c r="E24" i="28"/>
  <c r="E36" i="28" l="1"/>
  <c r="E43" i="28" s="1"/>
  <c r="E45" i="28" s="1"/>
  <c r="H45" i="28" s="1"/>
  <c r="F63" i="28"/>
  <c r="F24" i="28"/>
  <c r="F36" i="28" s="1"/>
  <c r="G63" i="28"/>
  <c r="E64" i="28"/>
  <c r="J63" i="28" s="1"/>
  <c r="J60" i="28" l="1"/>
  <c r="J61" i="28"/>
  <c r="G64" i="28"/>
  <c r="J62" i="28"/>
  <c r="J58" i="28"/>
  <c r="J59" i="28"/>
  <c r="H63" i="28"/>
  <c r="F64" i="28"/>
  <c r="H64" i="28" s="1"/>
</calcChain>
</file>

<file path=xl/sharedStrings.xml><?xml version="1.0" encoding="utf-8"?>
<sst xmlns="http://schemas.openxmlformats.org/spreadsheetml/2006/main" count="1458" uniqueCount="672">
  <si>
    <t>N з/п</t>
  </si>
  <si>
    <t>Зміст</t>
  </si>
  <si>
    <t>Посилання на документ</t>
  </si>
  <si>
    <t>Заява за встановленою формою</t>
  </si>
  <si>
    <t>(стор. __ - __)</t>
  </si>
  <si>
    <t>Пояснювальна записка (обґрунтування необхідності встановлення тарифу)</t>
  </si>
  <si>
    <t>Копія ліцензії на провадження ліцензованої діяльності</t>
  </si>
  <si>
    <t>Копія рішення про встановлення поточних індивідуальних технологічних нормативів використання питної води</t>
  </si>
  <si>
    <t>Копії розпорядчих документів про облікову політику підприємства</t>
  </si>
  <si>
    <t>Розрахунок тарифів на плановий період</t>
  </si>
  <si>
    <t>Загальновиробничі норми питомих витрат паливно-енергетичних ресурсів</t>
  </si>
  <si>
    <t>ЗАЯВА</t>
  </si>
  <si>
    <t>про встановлення тарифів</t>
  </si>
  <si>
    <t>______________________________________________________________________________________</t>
  </si>
  <si>
    <t>Заява та документи, що додаються до неї, містять достовірну інформацію.</t>
  </si>
  <si>
    <t>Керівник</t>
  </si>
  <si>
    <t>________________</t>
  </si>
  <si>
    <t>(підпис)</t>
  </si>
  <si>
    <t>(ініціали, прізвище)</t>
  </si>
  <si>
    <t>М. П.</t>
  </si>
  <si>
    <t>"___" ____________ 20__ року</t>
  </si>
  <si>
    <t> (види ліцензованої діяльності)</t>
  </si>
  <si>
    <t>(назва, серія, номер та дата видачі ліцензії(й) суб'єкта господарювання)</t>
  </si>
  <si>
    <t>(повне найменування, місцезнаходження суб'єкта господарювання)</t>
  </si>
  <si>
    <t>Прошу розглянути заяву та додані до неї матеріали щодо встановлення тарифів на</t>
  </si>
  <si>
    <t>на централізоване водопостачання</t>
  </si>
  <si>
    <t>на 2016 рік</t>
  </si>
  <si>
    <t>Перелік матеріалів та комплекту документів
для встановлення тарифів на централізоване водопостачання, 
що надаються Комунальним підприємством «Волоські мережі» Новоолександрівської сільської ради Дніпропетровського району Дніпропетровської області</t>
  </si>
  <si>
    <t>Схеми та розрахунки балансів водоспоживання</t>
  </si>
  <si>
    <t>ПОГОДЖЕНО:</t>
  </si>
  <si>
    <t>(найменування ліцензіата)</t>
  </si>
  <si>
    <t>Показники</t>
  </si>
  <si>
    <t>Код рядка</t>
  </si>
  <si>
    <t>А</t>
  </si>
  <si>
    <t>Б</t>
  </si>
  <si>
    <t>В</t>
  </si>
  <si>
    <t>Обсяг I підйому води, усього</t>
  </si>
  <si>
    <t>у т. ч.: поверхневий водозабір</t>
  </si>
  <si>
    <t>підземний водозабір</t>
  </si>
  <si>
    <t>покупна вода</t>
  </si>
  <si>
    <t>покупна вода в природному стані</t>
  </si>
  <si>
    <t>Витрати води технологічні до II підйому</t>
  </si>
  <si>
    <t>Втрати води технологічні до II підйому</t>
  </si>
  <si>
    <t>Обсяг реалізації води до II підйому</t>
  </si>
  <si>
    <t>Подано води в мережу (II підйом), усього</t>
  </si>
  <si>
    <t>у т. ч. покупна питна вода</t>
  </si>
  <si>
    <t>Витрати питної води після II підйому, усього</t>
  </si>
  <si>
    <t>у т. ч. на потреби: водопровідного господарства</t>
  </si>
  <si>
    <t>каналізаційного господарства</t>
  </si>
  <si>
    <t>Обсяг реалізації питної води іншим ВКГ</t>
  </si>
  <si>
    <t>Втрати та необліковані витрати питної води після II підйому</t>
  </si>
  <si>
    <t>Обсяг реалізації послуг централізованого водопостачання, усього</t>
  </si>
  <si>
    <t>у т. ч. на потреби: населення</t>
  </si>
  <si>
    <t>бюджетних установ</t>
  </si>
  <si>
    <t>інших споживачів</t>
  </si>
  <si>
    <t>інших ВКГ</t>
  </si>
  <si>
    <t>інших водопровідно-каналізаційних господарств</t>
  </si>
  <si>
    <t>______________________</t>
  </si>
  <si>
    <t>-</t>
  </si>
  <si>
    <t>1.1</t>
  </si>
  <si>
    <t>1.2</t>
  </si>
  <si>
    <t>1.3</t>
  </si>
  <si>
    <t>1.4</t>
  </si>
  <si>
    <t>5.1</t>
  </si>
  <si>
    <t>6.1</t>
  </si>
  <si>
    <t>6.2</t>
  </si>
  <si>
    <t>9.1</t>
  </si>
  <si>
    <t>9.2</t>
  </si>
  <si>
    <t>9.3</t>
  </si>
  <si>
    <t>9.4</t>
  </si>
  <si>
    <t>"___" ____________ 2016 року</t>
  </si>
  <si>
    <t>Розрахунок</t>
  </si>
  <si>
    <t>повної собівартості та середньозваженого тарифу на централізоване водопостачання</t>
  </si>
  <si>
    <t>Показник</t>
  </si>
  <si>
    <t>Передбачено діючим тарифом</t>
  </si>
  <si>
    <t>Виробнича собівартість, усього, у тому числі:</t>
  </si>
  <si>
    <t>прямі матеріальні витрати, у тому числі:</t>
  </si>
  <si>
    <t>електроенергія</t>
  </si>
  <si>
    <t>інші прямі матеріальні витрати</t>
  </si>
  <si>
    <t>прямі витрати на оплату праці</t>
  </si>
  <si>
    <t>інші прямі витрати, у тому числі:</t>
  </si>
  <si>
    <t>єдиний внесок на загальнообов'язкове державне соціальне страхування працівників</t>
  </si>
  <si>
    <t>амортизація виробничих основних засобів та нематеріальних активів, безпосередньо пов'язаних з наданням послуги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</si>
  <si>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</si>
  <si>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</si>
  <si>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</si>
  <si>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</si>
  <si>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</si>
  <si>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</si>
  <si>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 повної собівартості</t>
  </si>
  <si>
    <t>Планований прибуток</t>
  </si>
  <si>
    <t>податок на прибуток</t>
  </si>
  <si>
    <t>чистий прибуток, у тому числі:</t>
  </si>
  <si>
    <t>дивіденди</t>
  </si>
  <si>
    <t>резервний фонд (капітал)</t>
  </si>
  <si>
    <t>на розвиток виробництва (виробничі інвестиції)</t>
  </si>
  <si>
    <t>інше використання прибутку</t>
  </si>
  <si>
    <t>Вартість водопостачання споживачам за відповідними тарифами</t>
  </si>
  <si>
    <t>Обсяг водопостачання споживачам, усього, у т. ч. на потреби (тис. куб. м):</t>
  </si>
  <si>
    <t>населення</t>
  </si>
  <si>
    <t>Плановий період 2016 рік</t>
  </si>
  <si>
    <t>усього, тис.грн.</t>
  </si>
  <si>
    <t>грн/ куб.м</t>
  </si>
  <si>
    <t>1.1.1</t>
  </si>
  <si>
    <t>1.1.2</t>
  </si>
  <si>
    <t>1.1.3</t>
  </si>
  <si>
    <t>1.1.4</t>
  </si>
  <si>
    <t>1.3.1</t>
  </si>
  <si>
    <t>1.3.2</t>
  </si>
  <si>
    <t>1.3.3</t>
  </si>
  <si>
    <t>7.1</t>
  </si>
  <si>
    <t>7.2</t>
  </si>
  <si>
    <t>7.2.1</t>
  </si>
  <si>
    <t>7.2.2</t>
  </si>
  <si>
    <t>7.2.3</t>
  </si>
  <si>
    <t>7.2.4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</si>
  <si>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</si>
  <si>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</si>
  <si>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</si>
  <si>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</si>
  <si>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</si>
  <si>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</si>
  <si>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</si>
  <si>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</si>
  <si>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</si>
  <si>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</si>
  <si>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</si>
  <si>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</si>
  <si>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</si>
  <si>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</si>
  <si>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</si>
  <si>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</si>
  <si>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</si>
  <si>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</si>
  <si>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</si>
  <si>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</si>
  <si>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</si>
  <si>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</si>
  <si>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</si>
  <si>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</si>
  <si>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</si>
  <si>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</si>
  <si>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</si>
  <si>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</si>
  <si>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</si>
  <si>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</si>
  <si>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</si>
  <si>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Структурний підрозділ підприємства</t>
  </si>
  <si>
    <t>Подача води, пропуск стоків</t>
  </si>
  <si>
    <t>Витрати активної електроенергії</t>
  </si>
  <si>
    <t>Вартість активної електроенергії, без ПДВ</t>
  </si>
  <si>
    <t>Витрати реактивної електроенергії</t>
  </si>
  <si>
    <t>Тариф за 1 кВАр·год реактивної електроенергії, без ПДВ</t>
  </si>
  <si>
    <t>Вартість реактивної електроенергії, без ПДВ</t>
  </si>
  <si>
    <t>тис. куб. м</t>
  </si>
  <si>
    <t>тис. кВт·год</t>
  </si>
  <si>
    <t>коп.</t>
  </si>
  <si>
    <t>тис. грн</t>
  </si>
  <si>
    <t>тис. кВАр·год</t>
  </si>
  <si>
    <t>Електроенергія на технологічні потреби для централізованого водопостачання</t>
  </si>
  <si>
    <t>Загально-виробничі норми питомих витрат</t>
  </si>
  <si>
    <t>кВт·год/ 
куб. м</t>
  </si>
  <si>
    <t>Вартість електроенергії на технологічні потреби, 
без ПДВ</t>
  </si>
  <si>
    <t>вартості електричної енергії на технологічні потреби централізованого водопостачання на плановий період</t>
  </si>
  <si>
    <t>ціна, грн</t>
  </si>
  <si>
    <t>сума витрат, усього, тис. грн</t>
  </si>
  <si>
    <t>у т. ч.:</t>
  </si>
  <si>
    <t>у т. ч. розподілені</t>
  </si>
  <si>
    <t>нерозподілені</t>
  </si>
  <si>
    <t>Загальновиробничі витрати з централізованого водопостачання та водовідведення, усього</t>
  </si>
  <si>
    <t>Витрати на управління виробництвом:</t>
  </si>
  <si>
    <t>витрати на оплату праці</t>
  </si>
  <si>
    <t>витрати на оплату службових відряджень</t>
  </si>
  <si>
    <t>Амортизація основних засобів загальновиробничого (цехового, дільничного, лінійного) призначення</t>
  </si>
  <si>
    <t>Витрати на утримання та експлуатацію основних засобів та необоротних активів загальновиробничого призначення</t>
  </si>
  <si>
    <t>Витрати на ремонт основних засобів та необоротних активів загальновиробничого призначення</t>
  </si>
  <si>
    <t>Витрати на страхування основних засобів та необоротних активів загальновиробничого призначення</t>
  </si>
  <si>
    <t>Витрати на операційну оренду основних засобів та необоротних активів загальновиробничого призначення</t>
  </si>
  <si>
    <t>Витрати на удосконалення технології та організації виробництва</t>
  </si>
  <si>
    <t>Витрати на утримання виробничих приміщень:</t>
  </si>
  <si>
    <t>опалення</t>
  </si>
  <si>
    <t>освітлення</t>
  </si>
  <si>
    <t>дезінфекція</t>
  </si>
  <si>
    <t>дератизація</t>
  </si>
  <si>
    <t>вивезення сміття</t>
  </si>
  <si>
    <t>Витрати на обслуговування виробничого процесу:</t>
  </si>
  <si>
    <t>витрати на здійснення технологічного контролю за виробничими процесами і якістю водопостачання та водовідведення</t>
  </si>
  <si>
    <t>витрати на ПММ:</t>
  </si>
  <si>
    <t>бензин</t>
  </si>
  <si>
    <t>дизельне паливо</t>
  </si>
  <si>
    <t>Витрати на охорону праці, дотримання вимог техніки безпеки і охорону навколишнього природного середовища</t>
  </si>
  <si>
    <t>Витрати на охорону об'єктів виробничого та загальновиробничого призначення:</t>
  </si>
  <si>
    <t>пожежна охорона</t>
  </si>
  <si>
    <t>сторожова охорона</t>
  </si>
  <si>
    <t>утримання санітарних зон</t>
  </si>
  <si>
    <t>Витрати на оплату послуг спеціалізованих підприємств:</t>
  </si>
  <si>
    <t>проведення планових перевірок стану обладнання</t>
  </si>
  <si>
    <t>освоєння нових потужностей</t>
  </si>
  <si>
    <t>Витрати на сплату податків, зборів</t>
  </si>
  <si>
    <t>Інші витрати загальновиробничого призначення з централізованого водопостачання та водовідведення</t>
  </si>
  <si>
    <t>032</t>
  </si>
  <si>
    <t>034</t>
  </si>
  <si>
    <t>035</t>
  </si>
  <si>
    <t>036</t>
  </si>
  <si>
    <t>037</t>
  </si>
  <si>
    <t>038</t>
  </si>
  <si>
    <t>039</t>
  </si>
  <si>
    <t>041</t>
  </si>
  <si>
    <t>042</t>
  </si>
  <si>
    <t>043</t>
  </si>
  <si>
    <t>044</t>
  </si>
  <si>
    <t>045</t>
  </si>
  <si>
    <t>049</t>
  </si>
  <si>
    <t>витрати ресурсу в натураль-ному вимірі</t>
  </si>
  <si>
    <t>Фактично, базовий період 2015 рік</t>
  </si>
  <si>
    <t>водо-поста-чання</t>
  </si>
  <si>
    <t>інші види діяльності</t>
  </si>
  <si>
    <t>коефі- цієнт розпо- ділу</t>
  </si>
  <si>
    <t>усього</t>
  </si>
  <si>
    <t>8.1</t>
  </si>
  <si>
    <t>8.2</t>
  </si>
  <si>
    <t>8.3</t>
  </si>
  <si>
    <t>8.4</t>
  </si>
  <si>
    <t>8.5</t>
  </si>
  <si>
    <t>9.4.1</t>
  </si>
  <si>
    <t>9.4.2</t>
  </si>
  <si>
    <t>10.1</t>
  </si>
  <si>
    <t>10.2</t>
  </si>
  <si>
    <t>10.3</t>
  </si>
  <si>
    <t>11.1</t>
  </si>
  <si>
    <t>11.2</t>
  </si>
  <si>
    <t>12.1</t>
  </si>
  <si>
    <t>12.2</t>
  </si>
  <si>
    <t>12.3</t>
  </si>
  <si>
    <t>13.1</t>
  </si>
  <si>
    <t>13.2</t>
  </si>
  <si>
    <t>13.3</t>
  </si>
  <si>
    <t>14.1</t>
  </si>
  <si>
    <t>14.2</t>
  </si>
  <si>
    <t>15.1</t>
  </si>
  <si>
    <t>15.2</t>
  </si>
  <si>
    <t>Адміністративні витрати з централізованого водопостачання та водовідведення</t>
  </si>
  <si>
    <t xml:space="preserve">Складові адміністративних витрат </t>
  </si>
  <si>
    <t xml:space="preserve">Витрати на оплату праці апарату управління підприємством та іншого адміністративного персоналу </t>
  </si>
  <si>
    <t>Єдиний внесок на загальнообов'язкове державне соціальне страхування працівників</t>
  </si>
  <si>
    <t>Витрати на підготовку і перепідготовку кадрів</t>
  </si>
  <si>
    <t>Витрати на малоцінні та швидкозношувані предмети</t>
  </si>
  <si>
    <t>Витрати на придбання канцелярських товарів</t>
  </si>
  <si>
    <t>Витрати на придбання періодичних професійних видань</t>
  </si>
  <si>
    <t>Витрати на утримання основних засобів, необоротних матеріальних і нематеріальних активів адміністративного використання:</t>
  </si>
  <si>
    <t xml:space="preserve">витрати на ремонт </t>
  </si>
  <si>
    <t xml:space="preserve">витрати на оренду </t>
  </si>
  <si>
    <t xml:space="preserve">витрати на страхування майна </t>
  </si>
  <si>
    <t>витрати на утримання основних засобів, інші:</t>
  </si>
  <si>
    <t>Витрати на оплату професійних послуг:</t>
  </si>
  <si>
    <t>юридичні</t>
  </si>
  <si>
    <t>Витрати на оплату послуг зв'язку:</t>
  </si>
  <si>
    <t>телефонний</t>
  </si>
  <si>
    <t>Витрати, пов'язані зі сплатою податків, зборів, крім тих, що включаються до виробничої собівартості:</t>
  </si>
  <si>
    <t>Витрати на розв'язання спорів у судах</t>
  </si>
  <si>
    <t>Витрати на придбання паливно-мастильних матеріалів для потреб апарату управління підприємством:</t>
  </si>
  <si>
    <t>Інші адміністративні витрати</t>
  </si>
  <si>
    <t>Загальновиробничі витрати з централізованого водопостачання</t>
  </si>
  <si>
    <t>9.4.3</t>
  </si>
  <si>
    <t>9.4.4</t>
  </si>
  <si>
    <t>9.4.5</t>
  </si>
  <si>
    <t>11.3</t>
  </si>
  <si>
    <t>15.3</t>
  </si>
  <si>
    <t>Інші операційні витрати з централізованого водопостачання та водовідведення</t>
  </si>
  <si>
    <t>Складові інших операційних витрат</t>
  </si>
  <si>
    <t>Інші операційні витрати з централізованого водопостачання та водовідведення, усього</t>
  </si>
  <si>
    <t>Фінансові витрати з централізованого водопостачання та водовідведення</t>
  </si>
  <si>
    <t>Складові фінансових витрат</t>
  </si>
  <si>
    <t>Фінансові витрати з централізованого водопостачання та водовідведення, усього</t>
  </si>
  <si>
    <t>Звітність</t>
  </si>
  <si>
    <t>Матеріали щодо розрахунку тарифів</t>
  </si>
  <si>
    <t>(ПІБ)</t>
  </si>
  <si>
    <t>Складові прямих матеріальних витрат</t>
  </si>
  <si>
    <t>сума витрат, усього, 
тис. грн</t>
  </si>
  <si>
    <t>Покупна вода від 
КП "Дніпроводоканал"</t>
  </si>
  <si>
    <t>_______________</t>
  </si>
  <si>
    <t>витрат на покупну воду від КП "Дніпроводоканал"</t>
  </si>
  <si>
    <t>1</t>
  </si>
  <si>
    <t>Найменування статті витрат</t>
  </si>
  <si>
    <t>Загальновиробничий персонал</t>
  </si>
  <si>
    <t>Директор</t>
  </si>
  <si>
    <t>Збут</t>
  </si>
  <si>
    <t>Адміністративний персонал</t>
  </si>
  <si>
    <t>л/100 км</t>
  </si>
  <si>
    <t>Усього</t>
  </si>
  <si>
    <t>Виконавець</t>
  </si>
  <si>
    <t>витрати ресурсу в натураль-ному вимірі, тис.куб.м</t>
  </si>
  <si>
    <t>№
з/п</t>
  </si>
  <si>
    <t>Найменування показника</t>
  </si>
  <si>
    <t>підвищувальна насосна станція</t>
  </si>
  <si>
    <t>РОЗРАХУНОК</t>
  </si>
  <si>
    <t xml:space="preserve">Установлена виробнича потужність </t>
  </si>
  <si>
    <t>од.
вим.</t>
  </si>
  <si>
    <t>шт</t>
  </si>
  <si>
    <t>кВт</t>
  </si>
  <si>
    <t>куб.м/
добу</t>
  </si>
  <si>
    <t>кВт*год</t>
  </si>
  <si>
    <t>Річні витрати електроенергії</t>
  </si>
  <si>
    <t>рентна плата за спеціальне використання води</t>
  </si>
  <si>
    <t>Найменування показників</t>
  </si>
  <si>
    <t>тис. грн на рік</t>
  </si>
  <si>
    <t>Виробнича собівартість, у тому числі:</t>
  </si>
  <si>
    <t>витрати на реагенти</t>
  </si>
  <si>
    <t>матеріали, запасні частини та інші матеріальні ресурси (ремонти)</t>
  </si>
  <si>
    <t>відрахування на соціальні заходи</t>
  </si>
  <si>
    <t>амортизаційні відрахування</t>
  </si>
  <si>
    <t>підкачка води сторонніми організаціями</t>
  </si>
  <si>
    <t>1.3.4</t>
  </si>
  <si>
    <t>загальновиробничі витрати, у тому числі:</t>
  </si>
  <si>
    <t>1.4.1</t>
  </si>
  <si>
    <t>1.4.2</t>
  </si>
  <si>
    <t>1.4.3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</si>
  <si>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</si>
  <si>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</si>
  <si>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</si>
  <si>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</si>
  <si>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</si>
  <si>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</si>
  <si>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</si>
  <si>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</si>
  <si>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</si>
  <si>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</si>
  <si>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</si>
  <si>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</si>
  <si>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</si>
  <si>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</si>
  <si>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</si>
  <si>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5</t>
  </si>
  <si>
    <t>6</t>
  </si>
  <si>
    <t>Повна собівартість</t>
  </si>
  <si>
    <t>7</t>
  </si>
  <si>
    <t>Розрахунковий прибуток, у тому числі:</t>
  </si>
  <si>
    <t>7.3</t>
  </si>
  <si>
    <t>7.4</t>
  </si>
  <si>
    <t>7.5</t>
  </si>
  <si>
    <t>8</t>
  </si>
  <si>
    <t>Вартість централізованого водопостачання/водовідведення, тис. грн</t>
  </si>
  <si>
    <t xml:space="preserve">Структура тарифів на централізоване водопостачання </t>
  </si>
  <si>
    <t>10</t>
  </si>
  <si>
    <t xml:space="preserve">Кількість насосів </t>
  </si>
  <si>
    <t>км/день</t>
  </si>
  <si>
    <t>Потужність насосного агрегату</t>
  </si>
  <si>
    <t xml:space="preserve">До заяви додаються: </t>
  </si>
  <si>
    <t>1. Пояснювальна записка щодо розрахунків тарифів;</t>
  </si>
  <si>
    <t>указать лицензию</t>
  </si>
  <si>
    <t>ПЕРЕЛІК</t>
  </si>
  <si>
    <t>енергообладнання КП «ВОЛОСЬКІ МЕРЕЖІ»</t>
  </si>
  <si>
    <t>ціна за од., грн.</t>
  </si>
  <si>
    <t>сума, тис.грн.</t>
  </si>
  <si>
    <t>Костюм ХБ</t>
  </si>
  <si>
    <t>строк
носіння,
міс.</t>
  </si>
  <si>
    <t>Костюм зварювальника</t>
  </si>
  <si>
    <t>Черевики</t>
  </si>
  <si>
    <t>Куртка утеплена</t>
  </si>
  <si>
    <t>Чоботи утеплені</t>
  </si>
  <si>
    <t>Штани утеплені</t>
  </si>
  <si>
    <t>Рукавиці</t>
  </si>
  <si>
    <t>УСЬОГО</t>
  </si>
  <si>
    <t>витрат на охорону праці</t>
  </si>
  <si>
    <t>Найменування спецодягу, спецвзуття та інших ЗІЗ</t>
  </si>
  <si>
    <t>передбачено діючим тарифом</t>
  </si>
  <si>
    <t>січень</t>
  </si>
  <si>
    <t>лютий</t>
  </si>
  <si>
    <t>березень</t>
  </si>
  <si>
    <t>червень</t>
  </si>
  <si>
    <t>квітень</t>
  </si>
  <si>
    <t>травень</t>
  </si>
  <si>
    <t>липень</t>
  </si>
  <si>
    <t>серпень</t>
  </si>
  <si>
    <t>вересень</t>
  </si>
  <si>
    <t>жовтень</t>
  </si>
  <si>
    <t>9</t>
  </si>
  <si>
    <t>11</t>
  </si>
  <si>
    <t>12</t>
  </si>
  <si>
    <t>листопад</t>
  </si>
  <si>
    <t>грудень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</si>
  <si>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</si>
  <si>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</si>
  <si>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</si>
  <si>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</si>
  <si>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</si>
  <si>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</si>
  <si>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</si>
  <si>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</si>
  <si>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</si>
  <si>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</si>
  <si>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</si>
  <si>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</si>
  <si>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</si>
  <si>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</si>
  <si>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факт 2018 рік</t>
  </si>
  <si>
    <t>витрати питної води після II підйому, %</t>
  </si>
  <si>
    <t>тис.куб.м</t>
  </si>
  <si>
    <t>Втрати та необліковані витрати питної води 
після II підйому</t>
  </si>
  <si>
    <t>ціна середня за рік, грн</t>
  </si>
  <si>
    <t xml:space="preserve">Назва посади/професії
</t>
  </si>
  <si>
    <t>статті витрат</t>
  </si>
  <si>
    <t>ВСЬОГО</t>
  </si>
  <si>
    <t>Диспетчер</t>
  </si>
  <si>
    <t>Чис-ть за штатним розписом</t>
  </si>
  <si>
    <t>Вхідні дані</t>
  </si>
  <si>
    <t>Одиниці виміру</t>
  </si>
  <si>
    <t>Примітка</t>
  </si>
  <si>
    <t>Дані для розрахунку витрат на оплату праці
середньозважений прожитковий мінімум на одну особу в розрахунку на місяць для працездатних осіб</t>
  </si>
  <si>
    <t>грн.</t>
  </si>
  <si>
    <t>Норма тривалості робочого часу в годинах при
40-годинному робочому тижні</t>
  </si>
  <si>
    <t>год/рік</t>
  </si>
  <si>
    <t>год/міс</t>
  </si>
  <si>
    <t>Дані для розрахунку показників</t>
  </si>
  <si>
    <t>Коефіцієнт для виизначення мінім. тарифної ставки робітника І розряду (п.3.1.2.)</t>
  </si>
  <si>
    <t>Коефіцієнт за підгалузями, видами робіт та окремими професіями
(додаток2)</t>
  </si>
  <si>
    <t>Коефіцієнти керівників, професіоналів, фахівців та технічних службовців
(додаток3)</t>
  </si>
  <si>
    <t>%</t>
  </si>
  <si>
    <t>сума</t>
  </si>
  <si>
    <t>Основна заробітна плата
(посадовий оклад/
місячна тарифна ставка), грн.</t>
  </si>
  <si>
    <t>Додаткова заробітна плата, грн.</t>
  </si>
  <si>
    <t>Місячна ЗП на 1 працівника, грн.</t>
  </si>
  <si>
    <t>Прямі витрати</t>
  </si>
  <si>
    <t>Витрати електроенергії</t>
  </si>
  <si>
    <t>Тариф (середній)</t>
  </si>
  <si>
    <t>Контролер-обліковец</t>
  </si>
  <si>
    <t>Тарифна ставка годинна, грн./годин.</t>
  </si>
  <si>
    <t>Комунальному підприємству «Волоські мережі» Новоолександрівської сільської ради Дніпровського району Дніпропетровської області</t>
  </si>
  <si>
    <t>Комунального підприємства «Волоські мережі» 
Новоолександрівської сільської ради Дніпровського району Дніпропетровської області</t>
  </si>
  <si>
    <t>Комунального підприємства «Волоські мережі» Новоолександрівської сільської ради Дніпровського району Дніпропетровської області</t>
  </si>
  <si>
    <r>
      <t>грн/м</t>
    </r>
    <r>
      <rPr>
        <vertAlign val="superscript"/>
        <sz val="12"/>
        <rFont val="Calibri"/>
        <family val="2"/>
        <charset val="204"/>
        <scheme val="minor"/>
      </rPr>
      <t>3</t>
    </r>
  </si>
  <si>
    <r>
      <t>Тариф споживачам, які не є суб’єктами господарювання у сфері централізованого водопостачання/водовідведення, грн/м</t>
    </r>
    <r>
      <rPr>
        <b/>
        <vertAlign val="superscript"/>
        <sz val="12"/>
        <rFont val="Calibri"/>
        <family val="2"/>
        <charset val="204"/>
        <scheme val="minor"/>
      </rPr>
      <t>3</t>
    </r>
  </si>
  <si>
    <r>
      <t>Обсяг реалізації, тис. м</t>
    </r>
    <r>
      <rPr>
        <b/>
        <vertAlign val="superscript"/>
        <sz val="12"/>
        <rFont val="Calibri"/>
        <family val="2"/>
        <charset val="204"/>
        <scheme val="minor"/>
      </rPr>
      <t>3</t>
    </r>
  </si>
  <si>
    <r>
      <t xml:space="preserve">Річний план 
</t>
    </r>
    <r>
      <rPr>
        <sz val="14"/>
        <color theme="1"/>
        <rFont val="Calibri"/>
        <family val="2"/>
        <charset val="204"/>
        <scheme val="minor"/>
      </rPr>
      <t xml:space="preserve">ліцензованої діяльності з централізованого водопостачання </t>
    </r>
  </si>
  <si>
    <t>За данними Головного управління статистики у Дніпропетровській області середня заробітна плата штатних працівників за видами економічної діяльності: водопостачання, каналізація, поводження з відходами у лютому 2018 року стала - 6 669,00 грн.</t>
  </si>
  <si>
    <r>
      <t>Тариф за 1 кВт·год активної електроенергії (II клас), без ПДВ</t>
    </r>
    <r>
      <rPr>
        <vertAlign val="superscript"/>
        <sz val="12"/>
        <color theme="1"/>
        <rFont val="Calibri"/>
        <family val="2"/>
        <charset val="204"/>
        <scheme val="minor"/>
      </rPr>
      <t xml:space="preserve"> </t>
    </r>
  </si>
  <si>
    <r>
      <rPr>
        <b/>
        <sz val="14"/>
        <color theme="1"/>
        <rFont val="Calibri"/>
        <family val="2"/>
        <charset val="204"/>
        <scheme val="minor"/>
      </rPr>
      <t xml:space="preserve">Штатний розклад </t>
    </r>
    <r>
      <rPr>
        <sz val="14"/>
        <color theme="1"/>
        <rFont val="Calibri"/>
        <family val="2"/>
        <charset val="204"/>
        <scheme val="minor"/>
      </rPr>
      <t xml:space="preserve">
Комунального підприємства «Волоські мережі» Новоолександрівської сільської ради Дніпропетровського району Дніпропетровської області</t>
    </r>
  </si>
  <si>
    <t>Розрахунок фонду оплати праці</t>
  </si>
  <si>
    <t>Комунального підприємства «Волоські мережі» Новоолександрівської сільської ради 
Дніпровського району Дніпропетровської області</t>
  </si>
  <si>
    <t>Середня зарплата в місяць, грн./міс.</t>
  </si>
  <si>
    <t>Чисельність персоналу (в екв. п/з), осіб</t>
  </si>
  <si>
    <t>Всього витрат на оплату праці</t>
  </si>
  <si>
    <t>водопоста-чання</t>
  </si>
  <si>
    <t>інші послуги (в т.ч. за рахунок бюджет.коштів)</t>
  </si>
  <si>
    <t>коефіцієнт розподілу на водопоста-чання</t>
  </si>
  <si>
    <t>витрати на придбання води в інших суб’єктів господарювання</t>
  </si>
  <si>
    <t>грн. без ПДВ</t>
  </si>
  <si>
    <t>№ з/п</t>
  </si>
  <si>
    <t xml:space="preserve">Складові загальновиробничих витрат </t>
  </si>
  <si>
    <t>у т.ч.:</t>
  </si>
  <si>
    <t>водо- поста-чання</t>
  </si>
  <si>
    <t>8.6</t>
  </si>
  <si>
    <t>зв’язок</t>
  </si>
  <si>
    <t>9.2.1</t>
  </si>
  <si>
    <t>9.2.2</t>
  </si>
  <si>
    <t>9.2.3</t>
  </si>
  <si>
    <t>масло</t>
  </si>
  <si>
    <t>медогляд</t>
  </si>
  <si>
    <t>молоко</t>
  </si>
  <si>
    <t>навчання</t>
  </si>
  <si>
    <t>10.4</t>
  </si>
  <si>
    <t>спецодяг</t>
  </si>
  <si>
    <t xml:space="preserve">сторожова охорона </t>
  </si>
  <si>
    <t>виконання регламентних робіт (випробування)</t>
  </si>
  <si>
    <t>040</t>
  </si>
  <si>
    <t>13.4</t>
  </si>
  <si>
    <t>повірка приладів</t>
  </si>
  <si>
    <t>13.5</t>
  </si>
  <si>
    <t>техогляд трансп.засобів</t>
  </si>
  <si>
    <t>046</t>
  </si>
  <si>
    <t>рентна плата за користування надрами</t>
  </si>
  <si>
    <t>14.3</t>
  </si>
  <si>
    <t>екологічний податок</t>
  </si>
  <si>
    <t>048</t>
  </si>
  <si>
    <t>14.4</t>
  </si>
  <si>
    <t>плата за землю</t>
  </si>
  <si>
    <t>047</t>
  </si>
  <si>
    <t>050</t>
  </si>
  <si>
    <t>051</t>
  </si>
  <si>
    <t>052</t>
  </si>
  <si>
    <t>Адмінпослуги за реєстрацію</t>
  </si>
  <si>
    <t>Випробування заземляючого пристрою</t>
  </si>
  <si>
    <t>За висновок</t>
  </si>
  <si>
    <t>За держномера</t>
  </si>
  <si>
    <t>Обстеження та висновок</t>
  </si>
  <si>
    <t>Обстеження та техогляд підіймача</t>
  </si>
  <si>
    <t>Витрати на охорону навколишнього природного середовища</t>
  </si>
  <si>
    <t>15.4</t>
  </si>
  <si>
    <t>15.5</t>
  </si>
  <si>
    <t>15.6</t>
  </si>
  <si>
    <t>053</t>
  </si>
  <si>
    <t>054</t>
  </si>
  <si>
    <t>055</t>
  </si>
  <si>
    <t>Адміністративні витрати з централізованого  водопостачання та водовідведення, усього</t>
  </si>
  <si>
    <t>Амортизація основних засобів, інших необоротних матеріальних і нематеріальних активів загальногосподарського використання, визначена відповідно до вимог Податкового кодексу України</t>
  </si>
  <si>
    <t>інтернет</t>
  </si>
  <si>
    <t>033</t>
  </si>
  <si>
    <t>16.1</t>
  </si>
  <si>
    <t>Програмне забезпечення</t>
  </si>
  <si>
    <t>16.2</t>
  </si>
  <si>
    <t>Техогляд, обяви</t>
  </si>
  <si>
    <t>16.3</t>
  </si>
  <si>
    <t>Заправка катриджів</t>
  </si>
  <si>
    <t>Витрати на оплату послуг банків (розрахунково-касове обслуговування)</t>
  </si>
  <si>
    <t>ведення бухобліку</t>
  </si>
  <si>
    <t>консультаційні, інформаційні послуги</t>
  </si>
  <si>
    <t>Витрати на службові відрядження, 
витрати на проїзд</t>
  </si>
  <si>
    <t>10.5</t>
  </si>
  <si>
    <t>10.6</t>
  </si>
  <si>
    <t>адмінпослуги за реєстрацію</t>
  </si>
  <si>
    <t>послуги ЕПЦ</t>
  </si>
  <si>
    <t xml:space="preserve">Складові витрат на збут </t>
  </si>
  <si>
    <t>Витрати на збут послуг з централізованого водопостачання та водовідведення, усього</t>
  </si>
  <si>
    <t xml:space="preserve">Витрати на оплату праці персоналу, що безпосередньо здійснює збут послуг з централізованого водопостачання та водовідведення споживачам </t>
  </si>
  <si>
    <t xml:space="preserve">Амортизація основних засобів, інших необоротних матеріальних і нематеріальних активів, що безпосередньо задіяні у збуті послуг з централізованого водопостачання та водовідведення </t>
  </si>
  <si>
    <t>Витрати на утримання основних засобів, інших необоротних матеріальних активів, безпосередньо пов'язаних із збутом послуг з централізованого водопостачання та водовідведення</t>
  </si>
  <si>
    <t>Витрати на оплату інформаційних послуг, безпосередньо пов'язаних із збутом послуг з централізованого водопостачання та водовідведення</t>
  </si>
  <si>
    <t xml:space="preserve">Витрати на оплату послуг банків та інших установ з приймання і перерахунку коштів споживачів за послуги з централізованого водопостачання та водовідведення </t>
  </si>
  <si>
    <t xml:space="preserve">Витрати на канцелярські товари і виготовлення розрахункових документів про оплату послуг з централізованого водопостачання та водовідведення </t>
  </si>
  <si>
    <t>Витрати на періодичну повірку, опломбування, обслуговування та ремонт (включаючи демонтаж, транспортування і монтаж) засобів обліку води, які є власністю ліцензіата</t>
  </si>
  <si>
    <t>Іншї витрати збуту, в т.ч:</t>
  </si>
  <si>
    <t>ПММ</t>
  </si>
  <si>
    <t>Модель (модифікація) автомобіля або механізма</t>
  </si>
  <si>
    <t xml:space="preserve">вид
палива                  </t>
  </si>
  <si>
    <t>Норма витрат ПММ</t>
  </si>
  <si>
    <t xml:space="preserve">Витрати ПММ
</t>
  </si>
  <si>
    <t>ВСЬОГО 
витрат на ПММ</t>
  </si>
  <si>
    <t>масло,
л/ 100 л палива</t>
  </si>
  <si>
    <t>к-ть днів роботи</t>
  </si>
  <si>
    <t>всьго 
км</t>
  </si>
  <si>
    <t>машино-годин (циклів)/
день</t>
  </si>
  <si>
    <t>всьго 
машино-годин (циклів)</t>
  </si>
  <si>
    <t>паливо,
литрів</t>
  </si>
  <si>
    <t>ціна
(паливо),
грн./л</t>
  </si>
  <si>
    <t>сума
(паливо), тис.грн.</t>
  </si>
  <si>
    <t>масло,
литрів</t>
  </si>
  <si>
    <t>ціна
(масло),
грн./л</t>
  </si>
  <si>
    <t>сума
(масло), тис.грн.</t>
  </si>
  <si>
    <t>Розрахунок витрат паливно-мастильних матеріалів КП «Волоські мережі»</t>
  </si>
  <si>
    <t>Послуги зв'язку</t>
  </si>
  <si>
    <t>Телекомунікаційні послуги мтс</t>
  </si>
  <si>
    <t>Генератор бензиновий Кентавр КБГ 505 Э</t>
  </si>
  <si>
    <t>Мотопомпа бензинова Кентавр КБМ50</t>
  </si>
  <si>
    <t>Екскаватор-навантажувач Hyindai 11940S в комплекті</t>
  </si>
  <si>
    <t>Трактор SM 244.3</t>
  </si>
  <si>
    <t xml:space="preserve">Трактор ЮМЗ-6АКМ №762831 </t>
  </si>
  <si>
    <t>Траншеєкопач ТКГ 1200 дизел.двигун Lombardini</t>
  </si>
  <si>
    <t xml:space="preserve">вид
діяльності              </t>
  </si>
  <si>
    <t>загальновироб</t>
  </si>
  <si>
    <t>Аи-92</t>
  </si>
  <si>
    <t>ДТ</t>
  </si>
  <si>
    <t>Природний газ (метан)</t>
  </si>
  <si>
    <t>сума, грн</t>
  </si>
  <si>
    <t>кіл-ть</t>
  </si>
  <si>
    <t>ціна</t>
  </si>
  <si>
    <t>1 кв. 2018</t>
  </si>
  <si>
    <t>приход</t>
  </si>
  <si>
    <t>расход</t>
  </si>
  <si>
    <t>газ (метан)</t>
  </si>
  <si>
    <t>інші послуги</t>
  </si>
  <si>
    <t>дизпаливо</t>
  </si>
  <si>
    <t>ЄСВ</t>
  </si>
  <si>
    <t>Зарплата</t>
  </si>
  <si>
    <t>матеріали для ремонтів</t>
  </si>
  <si>
    <t>відх</t>
  </si>
  <si>
    <t>грн</t>
  </si>
  <si>
    <t>грн/куб.м</t>
  </si>
  <si>
    <t>структура</t>
  </si>
  <si>
    <t>2. Річний план ліцензованої діяльності з централізованого водопостачання;</t>
  </si>
  <si>
    <t>3. Структура тарифів на централізоване водопостачання;</t>
  </si>
  <si>
    <t>4. Розрахунок повної собівартості та середньозваженого тарифу на централізоване водопостачання;</t>
  </si>
  <si>
    <t>5. Розрахунок витрат на покупну воду;</t>
  </si>
  <si>
    <t>6. Розрахунок фонду оплати праці;</t>
  </si>
  <si>
    <t>7. Штатний розклад КП «Волоські мережі»;</t>
  </si>
  <si>
    <t>8. Розрахунок вартості електричної енергії на технологічні потреби;</t>
  </si>
  <si>
    <t>9. Перелік енергообладнання КП «ВОЛОСЬКІ МЕРЕЖІ»</t>
  </si>
  <si>
    <t>10. Загальновиробничі витрати з централізованого водопостачання</t>
  </si>
  <si>
    <t xml:space="preserve">11. Розрахунок витрат на паливно-мастильні матеріали </t>
  </si>
  <si>
    <t>12. Розрахунок витрат витрат на охорону праці</t>
  </si>
  <si>
    <t>13. Адміністративні витрати з централізованого водопостачання</t>
  </si>
  <si>
    <t>14. Витрати на збут з централізованого водопостачання</t>
  </si>
  <si>
    <t>витрати на ПММ</t>
  </si>
  <si>
    <t>витрати на оплату послуг зв'язку</t>
  </si>
  <si>
    <t>витрати на оплату послуг банків</t>
  </si>
  <si>
    <t>витрати на оплату інформаційних послуг</t>
  </si>
  <si>
    <t>витрати на канцелярські товари</t>
  </si>
  <si>
    <t>витрати на періодичну повірку, опломбування, обслуговування та ремонт (включаючи демонтаж, транспортування і монтаж) засобів обліку води, які є власністю ліцензіата</t>
  </si>
  <si>
    <t>Іншї витрати збуту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</si>
  <si>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</si>
  <si>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</si>
  <si>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</si>
  <si>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</si>
  <si>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</si>
  <si>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</si>
  <si>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</si>
  <si>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</si>
  <si>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Витрати на службові відрядження</t>
  </si>
  <si>
    <t>витрати на оренду авто</t>
  </si>
  <si>
    <t>2.5</t>
  </si>
  <si>
    <t>2.6</t>
  </si>
  <si>
    <t>2.7</t>
  </si>
  <si>
    <t>2.8</t>
  </si>
  <si>
    <t>2.9</t>
  </si>
  <si>
    <t>2.10</t>
  </si>
  <si>
    <t>2.11</t>
  </si>
  <si>
    <t>2.12</t>
  </si>
  <si>
    <t>3.5</t>
  </si>
  <si>
    <t>3.6</t>
  </si>
  <si>
    <t>3.7</t>
  </si>
  <si>
    <t>3.8</t>
  </si>
  <si>
    <t>інші прямі витрати
(сторожова охорона насосної станції)</t>
  </si>
  <si>
    <t>Манько Ю.Б.</t>
  </si>
  <si>
    <t>Обсяги придбання та реалізації</t>
  </si>
  <si>
    <t xml:space="preserve"> ч</t>
  </si>
  <si>
    <t>Слюсар-сантехнік 4р.</t>
  </si>
  <si>
    <t>Слюсар-сантехнік 3 р</t>
  </si>
  <si>
    <t>Слюсар-сантехнік 2 р</t>
  </si>
  <si>
    <t>Лаборант</t>
  </si>
  <si>
    <t>коефіцієнт розподілу на водопоста-чання (по факту за 2020 рік)</t>
  </si>
  <si>
    <t>Автомобіль citroen</t>
  </si>
  <si>
    <r>
      <t>кур</t>
    </r>
    <r>
      <rPr>
        <sz val="12"/>
        <color theme="1"/>
        <rFont val="Calibri"/>
        <family val="2"/>
        <charset val="204"/>
      </rPr>
      <t>'</t>
    </r>
    <r>
      <rPr>
        <sz val="12"/>
        <color theme="1"/>
        <rFont val="Calibri"/>
        <family val="2"/>
        <charset val="204"/>
        <scheme val="minor"/>
      </rPr>
      <t>єрські послуги</t>
    </r>
  </si>
  <si>
    <t>Обслуговування орг. техніки</t>
  </si>
  <si>
    <t>Футболка</t>
  </si>
  <si>
    <t>Чоботи гумові</t>
  </si>
  <si>
    <t>Шапка</t>
  </si>
  <si>
    <t>Жилет сигнальний</t>
  </si>
  <si>
    <t>*</t>
  </si>
  <si>
    <r>
      <t>Тариф споживачам, які не є суб’єктами господарювання у сфері централізованого водопостачання/водовідведення без ПДВ, грн/м</t>
    </r>
    <r>
      <rPr>
        <b/>
        <vertAlign val="superscript"/>
        <sz val="12"/>
        <rFont val="Calibri"/>
        <family val="2"/>
        <charset val="204"/>
        <scheme val="minor"/>
      </rPr>
      <t xml:space="preserve">3 </t>
    </r>
  </si>
  <si>
    <r>
      <t>Тариф споживачам, які не є суб’єктами господарювання у сфері централізованого водопостачання/водовідведення з ПДВ, грн/м</t>
    </r>
    <r>
      <rPr>
        <b/>
        <vertAlign val="superscript"/>
        <sz val="12"/>
        <rFont val="Calibri"/>
        <family val="2"/>
        <charset val="204"/>
        <scheme val="minor"/>
      </rPr>
      <t>3</t>
    </r>
  </si>
  <si>
    <t>Середньозважений тариф без ПДВ</t>
  </si>
  <si>
    <t>+</t>
  </si>
  <si>
    <t xml:space="preserve">факт 2021 рік </t>
  </si>
  <si>
    <t>базовий період факт за 2021 рік</t>
  </si>
  <si>
    <t>плановий період
2022 рік</t>
  </si>
  <si>
    <t xml:space="preserve">з 1 січня 2022року </t>
  </si>
  <si>
    <t xml:space="preserve">з 1 липня  2022 року </t>
  </si>
  <si>
    <t xml:space="preserve">з 1 грудня 202 року </t>
  </si>
  <si>
    <t>ЗУ "Про Державний бюджет України на 2022 рік", ст.7</t>
  </si>
  <si>
    <t>Середньо-зважений прожитковий мінімум на одну особу в розрахунку на місяць для працездатних осіб на 2022 рік, грн.</t>
  </si>
  <si>
    <t>Місячний плановий ФОП 2022 року, грн.</t>
  </si>
  <si>
    <t>Річний плановий ФОП 2022 року, тис.грн.</t>
  </si>
  <si>
    <t>Доплати та надбавки (додаток 8, додаток 6 до Галузевої угоди на 2017-2024 роки п. 3.1.8)</t>
  </si>
  <si>
    <t>Коефіцієнти згідно Галузевої Угоди на 2017-2024 роки
зі змінами від 19.02.2018, від 04.12.2018, від 29.07.2019, від 11.05.2021</t>
  </si>
  <si>
    <t>Фактично, базовий період 2021 рік</t>
  </si>
  <si>
    <t>Плановий період 2022 рік</t>
  </si>
  <si>
    <t>Факт 2021 рік</t>
  </si>
  <si>
    <t>підстава: Постанова НКРЕКП від 22.12.2021 №2848</t>
  </si>
  <si>
    <t>"___" ____________ 2022 року</t>
  </si>
  <si>
    <t>факт 2021</t>
  </si>
  <si>
    <t>план 2022</t>
  </si>
  <si>
    <t>факт 2021 рік</t>
  </si>
  <si>
    <t>пояснення до плану на 2022 рік</t>
  </si>
  <si>
    <t>план 2022 рік</t>
  </si>
  <si>
    <t>___ ____________ 2022 року</t>
  </si>
  <si>
    <t>Виконавець  ___________________________</t>
  </si>
  <si>
    <t>Фактично базовий період 2021 рік</t>
  </si>
  <si>
    <t>Плановий період 2022рік</t>
  </si>
  <si>
    <t>План на 2022 рік
пробіг</t>
  </si>
  <si>
    <t>План на 2022 рік
робота</t>
  </si>
  <si>
    <t>олива транс/машино-годину</t>
  </si>
  <si>
    <t>потреба 
на 2022 рік, шт.</t>
  </si>
  <si>
    <t>грн./кВт*год</t>
  </si>
  <si>
    <t>робота насосного агрегату - 
2,5 години на добу</t>
  </si>
  <si>
    <t>Примітка: 
1. Планові витрати електроенергії у перерахунку в тонни умовного палива складають 4,8 т.у.п. (13,7 тис.кВт*год *0,351 к-т перерахунку). 
Відповідно до п. 6 Методики розрахунку норм питомих витрат ПЕР на підприємствах ВКГ (наказ МінРегіоБуду від 03.09.2012 № 449) - норми витрат ПЕР розробляються для ПВКГ при споживанні понад 1000 тонн умовного палива за рік - тобто для норми витрат ПЕР для КП "Волоські мережі" не потребують розробки та затвердження.
2. Споживання активної електроенергії в середньому на місяць складає - 1,14 тис. кВт*год, тому витрати реактивної електроенергії не враховані в данному розрахунку.
3. Зростання питомих витрат в 2022 році повязано з очікуваним зниженням вхідного тиску подачі питної воді з мереж КП "Дніпроводоканал"</t>
  </si>
  <si>
    <t xml:space="preserve">Олександр Візір </t>
  </si>
  <si>
    <t xml:space="preserve">М. П.          </t>
  </si>
  <si>
    <t xml:space="preserve"> (ПІ)</t>
  </si>
  <si>
    <t>Середньозважений тариф з ПДВ</t>
  </si>
  <si>
    <t>Голові Виконавчого комітету Новоолександрівської 
сільської ради Дніпровського району Дніпропетровської області</t>
  </si>
  <si>
    <t>Візіру О.О.</t>
  </si>
  <si>
    <t xml:space="preserve"> Голова Виконавчого комітету Новоолександрівської сільської ради Дніпровського району Дніпропетровської області</t>
  </si>
  <si>
    <t>організація процедур закупівель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</si>
</sst>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#,##0.000"/>
    <numFmt numFmtId="167" formatCode="0.000%"/>
    <numFmt numFmtId="168" formatCode="0.00000"/>
    <numFmt numFmtId="169" formatCode="0.0000"/>
    <numFmt numFmtId="170" formatCode="0.0%"/>
    <numFmt numFmtId="171" formatCode="0.000"/>
    <numFmt numFmtId="172" formatCode="#,##0.00000"/>
  </numFmts>
  <fonts count="53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vertAlign val="superscript"/>
      <sz val="12"/>
      <name val="Calibri"/>
      <family val="2"/>
      <charset val="204"/>
      <scheme val="minor"/>
    </font>
    <font>
      <b/>
      <vertAlign val="superscript"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u/>
      <sz val="10"/>
      <color theme="10"/>
      <name val="Arial Cyr"/>
    </font>
    <font>
      <u/>
      <sz val="12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i/>
      <sz val="12"/>
      <color theme="0"/>
      <name val="Calibri"/>
      <family val="2"/>
      <charset val="204"/>
      <scheme val="minor"/>
    </font>
    <font>
      <i/>
      <sz val="11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38" fillId="0" borderId="0" applyNumberFormat="0" applyFill="0" applyBorder="0" applyAlignment="0" applyProtection="0"/>
  </cellStyleXfs>
  <cellXfs count="51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4" fillId="0" borderId="0" xfId="0" applyFont="1"/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9" xfId="0" applyFont="1" applyBorder="1"/>
    <xf numFmtId="0" fontId="15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 applyFont="1"/>
    <xf numFmtId="167" fontId="0" fillId="0" borderId="0" xfId="0" applyNumberFormat="1" applyFont="1"/>
    <xf numFmtId="0" fontId="17" fillId="0" borderId="0" xfId="0" applyFont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167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49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7" fontId="0" fillId="0" borderId="0" xfId="1" applyNumberFormat="1" applyFont="1"/>
    <xf numFmtId="167" fontId="0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12" fillId="0" borderId="1" xfId="0" applyFont="1" applyFill="1" applyBorder="1" applyAlignment="1">
      <alignment vertical="center" wrapText="1"/>
    </xf>
    <xf numFmtId="10" fontId="12" fillId="0" borderId="1" xfId="1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164" fontId="0" fillId="0" borderId="0" xfId="0" applyNumberFormat="1" applyFont="1"/>
    <xf numFmtId="170" fontId="12" fillId="0" borderId="1" xfId="1" applyNumberFormat="1" applyFont="1" applyFill="1" applyBorder="1" applyAlignment="1">
      <alignment horizontal="center" vertical="center" wrapText="1"/>
    </xf>
    <xf numFmtId="1" fontId="0" fillId="0" borderId="0" xfId="1" applyNumberFormat="1" applyFont="1"/>
    <xf numFmtId="165" fontId="0" fillId="0" borderId="0" xfId="0" applyNumberFormat="1" applyFont="1"/>
    <xf numFmtId="49" fontId="17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9" fontId="17" fillId="0" borderId="0" xfId="0" applyNumberFormat="1" applyFont="1"/>
    <xf numFmtId="0" fontId="17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center" wrapText="1"/>
    </xf>
    <xf numFmtId="49" fontId="0" fillId="3" borderId="3" xfId="0" applyNumberFormat="1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3" fontId="0" fillId="3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4" fontId="0" fillId="2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0" fontId="19" fillId="0" borderId="1" xfId="1" applyNumberFormat="1" applyFont="1" applyFill="1" applyBorder="1" applyAlignment="1">
      <alignment horizontal="center" vertical="center" wrapText="1"/>
    </xf>
    <xf numFmtId="9" fontId="19" fillId="0" borderId="1" xfId="1" applyFont="1" applyFill="1" applyBorder="1" applyAlignment="1">
      <alignment horizontal="center" vertical="center" wrapText="1"/>
    </xf>
    <xf numFmtId="0" fontId="19" fillId="0" borderId="0" xfId="0" applyFont="1" applyFill="1"/>
    <xf numFmtId="49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/>
    <xf numFmtId="0" fontId="0" fillId="0" borderId="0" xfId="0" applyFont="1" applyFill="1" applyAlignment="1">
      <alignment wrapText="1"/>
    </xf>
    <xf numFmtId="49" fontId="17" fillId="0" borderId="0" xfId="0" applyNumberFormat="1" applyFont="1" applyAlignment="1">
      <alignment horizontal="center" vertical="center" wrapText="1"/>
    </xf>
    <xf numFmtId="0" fontId="23" fillId="0" borderId="0" xfId="3" applyFont="1" applyFill="1"/>
    <xf numFmtId="0" fontId="23" fillId="0" borderId="0" xfId="3" applyFont="1" applyFill="1" applyAlignment="1">
      <alignment horizontal="center" vertical="center" wrapText="1"/>
    </xf>
    <xf numFmtId="0" fontId="23" fillId="0" borderId="0" xfId="3" applyFont="1" applyFill="1" applyAlignment="1">
      <alignment horizontal="right" wrapText="1"/>
    </xf>
    <xf numFmtId="0" fontId="23" fillId="0" borderId="0" xfId="3" applyFont="1" applyFill="1" applyAlignment="1">
      <alignment horizontal="center" vertical="center"/>
    </xf>
    <xf numFmtId="0" fontId="23" fillId="0" borderId="8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/>
    </xf>
    <xf numFmtId="1" fontId="22" fillId="0" borderId="8" xfId="3" applyNumberFormat="1" applyFont="1" applyFill="1" applyBorder="1" applyAlignment="1">
      <alignment horizontal="center" vertical="center"/>
    </xf>
    <xf numFmtId="0" fontId="22" fillId="0" borderId="8" xfId="3" applyFont="1" applyFill="1" applyBorder="1" applyAlignment="1">
      <alignment horizontal="left" vertical="center"/>
    </xf>
    <xf numFmtId="4" fontId="22" fillId="0" borderId="8" xfId="3" applyNumberFormat="1" applyFont="1" applyFill="1" applyBorder="1" applyAlignment="1">
      <alignment horizontal="center" vertical="center"/>
    </xf>
    <xf numFmtId="49" fontId="22" fillId="0" borderId="8" xfId="3" applyNumberFormat="1" applyFont="1" applyFill="1" applyBorder="1" applyAlignment="1">
      <alignment horizontal="center" vertical="center"/>
    </xf>
    <xf numFmtId="49" fontId="23" fillId="0" borderId="8" xfId="3" applyNumberFormat="1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left" vertical="center"/>
    </xf>
    <xf numFmtId="4" fontId="23" fillId="0" borderId="8" xfId="3" applyNumberFormat="1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left" vertical="center" wrapText="1"/>
    </xf>
    <xf numFmtId="0" fontId="23" fillId="0" borderId="0" xfId="3" applyFont="1" applyFill="1" applyAlignment="1">
      <alignment vertical="center"/>
    </xf>
    <xf numFmtId="49" fontId="23" fillId="0" borderId="8" xfId="5" applyNumberFormat="1" applyFont="1" applyFill="1" applyBorder="1" applyAlignment="1">
      <alignment horizontal="center" vertical="center" wrapText="1"/>
    </xf>
    <xf numFmtId="0" fontId="23" fillId="0" borderId="8" xfId="5" applyFont="1" applyFill="1" applyBorder="1" applyAlignment="1">
      <alignment vertical="center" wrapText="1"/>
    </xf>
    <xf numFmtId="2" fontId="23" fillId="0" borderId="0" xfId="5" applyNumberFormat="1" applyFont="1" applyFill="1" applyBorder="1" applyAlignment="1">
      <alignment horizontal="center" vertical="center"/>
    </xf>
    <xf numFmtId="0" fontId="23" fillId="0" borderId="0" xfId="5" applyFont="1" applyFill="1"/>
    <xf numFmtId="0" fontId="22" fillId="0" borderId="8" xfId="3" applyFont="1" applyFill="1" applyBorder="1" applyAlignment="1">
      <alignment horizontal="left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vertical="center" wrapText="1"/>
    </xf>
    <xf numFmtId="49" fontId="23" fillId="0" borderId="0" xfId="3" applyNumberFormat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 wrapText="1"/>
    </xf>
    <xf numFmtId="4" fontId="22" fillId="0" borderId="0" xfId="3" applyNumberFormat="1" applyFont="1" applyFill="1" applyBorder="1" applyAlignment="1">
      <alignment horizontal="center" vertical="center"/>
    </xf>
    <xf numFmtId="4" fontId="17" fillId="0" borderId="0" xfId="0" applyNumberFormat="1" applyFont="1"/>
    <xf numFmtId="0" fontId="17" fillId="0" borderId="0" xfId="0" applyFont="1"/>
    <xf numFmtId="49" fontId="17" fillId="0" borderId="0" xfId="0" applyNumberFormat="1" applyFont="1" applyAlignment="1">
      <alignment wrapText="1"/>
    </xf>
    <xf numFmtId="0" fontId="17" fillId="0" borderId="8" xfId="0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0" fontId="18" fillId="0" borderId="0" xfId="0" applyFont="1"/>
    <xf numFmtId="49" fontId="17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169" fontId="18" fillId="0" borderId="0" xfId="0" applyNumberFormat="1" applyFont="1"/>
    <xf numFmtId="168" fontId="17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5" fillId="0" borderId="0" xfId="0" applyFont="1"/>
    <xf numFmtId="164" fontId="15" fillId="0" borderId="0" xfId="0" applyNumberFormat="1" applyFont="1"/>
    <xf numFmtId="0" fontId="18" fillId="0" borderId="0" xfId="0" applyFont="1" applyAlignment="1">
      <alignment horizontal="center" vertical="center"/>
    </xf>
    <xf numFmtId="164" fontId="17" fillId="0" borderId="0" xfId="0" applyNumberFormat="1" applyFont="1"/>
    <xf numFmtId="0" fontId="28" fillId="0" borderId="0" xfId="0" applyFont="1" applyAlignment="1"/>
    <xf numFmtId="0" fontId="15" fillId="0" borderId="0" xfId="0" applyFont="1" applyAlignment="1">
      <alignment vertical="top"/>
    </xf>
    <xf numFmtId="0" fontId="29" fillId="0" borderId="8" xfId="0" applyFont="1" applyFill="1" applyBorder="1" applyAlignment="1">
      <alignment vertical="top"/>
    </xf>
    <xf numFmtId="0" fontId="30" fillId="0" borderId="8" xfId="0" applyFont="1" applyBorder="1" applyAlignment="1">
      <alignment horizontal="left" vertical="top" wrapText="1"/>
    </xf>
    <xf numFmtId="1" fontId="15" fillId="0" borderId="8" xfId="0" applyNumberFormat="1" applyFont="1" applyBorder="1" applyAlignment="1">
      <alignment horizontal="center" vertical="top"/>
    </xf>
    <xf numFmtId="4" fontId="15" fillId="0" borderId="8" xfId="0" applyNumberFormat="1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4" fontId="15" fillId="0" borderId="8" xfId="0" applyNumberFormat="1" applyFont="1" applyBorder="1" applyAlignment="1">
      <alignment horizontal="right" vertical="top"/>
    </xf>
    <xf numFmtId="0" fontId="15" fillId="0" borderId="8" xfId="0" applyFont="1" applyBorder="1" applyAlignment="1">
      <alignment vertical="top"/>
    </xf>
    <xf numFmtId="0" fontId="31" fillId="0" borderId="8" xfId="8" applyFont="1" applyFill="1" applyBorder="1" applyAlignment="1">
      <alignment vertical="top" wrapText="1"/>
    </xf>
    <xf numFmtId="0" fontId="32" fillId="0" borderId="8" xfId="8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horizontal="left" vertical="top"/>
    </xf>
    <xf numFmtId="170" fontId="15" fillId="0" borderId="8" xfId="0" applyNumberFormat="1" applyFont="1" applyBorder="1" applyAlignment="1">
      <alignment horizontal="right" vertical="top"/>
    </xf>
    <xf numFmtId="0" fontId="28" fillId="0" borderId="0" xfId="0" applyFont="1" applyAlignment="1">
      <alignment vertical="top"/>
    </xf>
    <xf numFmtId="0" fontId="34" fillId="0" borderId="14" xfId="0" applyFont="1" applyFill="1" applyBorder="1" applyAlignment="1">
      <alignment vertical="top"/>
    </xf>
    <xf numFmtId="0" fontId="34" fillId="0" borderId="14" xfId="0" applyFont="1" applyFill="1" applyBorder="1" applyAlignment="1">
      <alignment horizontal="center" vertical="top"/>
    </xf>
    <xf numFmtId="0" fontId="28" fillId="0" borderId="14" xfId="0" applyFont="1" applyBorder="1" applyAlignment="1">
      <alignment vertical="top"/>
    </xf>
    <xf numFmtId="0" fontId="28" fillId="0" borderId="14" xfId="0" applyFont="1" applyBorder="1" applyAlignment="1">
      <alignment horizontal="center" vertical="top"/>
    </xf>
    <xf numFmtId="0" fontId="28" fillId="0" borderId="14" xfId="0" applyFont="1" applyBorder="1" applyAlignment="1">
      <alignment horizontal="right" vertical="top"/>
    </xf>
    <xf numFmtId="0" fontId="28" fillId="0" borderId="14" xfId="0" applyFont="1" applyBorder="1" applyAlignment="1">
      <alignment horizontal="right"/>
    </xf>
    <xf numFmtId="4" fontId="28" fillId="0" borderId="14" xfId="0" applyNumberFormat="1" applyFont="1" applyBorder="1" applyAlignment="1">
      <alignment horizontal="right" vertical="top"/>
    </xf>
    <xf numFmtId="0" fontId="28" fillId="0" borderId="0" xfId="0" applyFont="1"/>
    <xf numFmtId="1" fontId="15" fillId="0" borderId="0" xfId="0" applyNumberFormat="1" applyFont="1" applyAlignment="1">
      <alignment horizontal="center" vertical="center"/>
    </xf>
    <xf numFmtId="4" fontId="0" fillId="0" borderId="0" xfId="0" applyNumberFormat="1" applyFont="1"/>
    <xf numFmtId="0" fontId="15" fillId="0" borderId="8" xfId="0" applyFont="1" applyBorder="1" applyAlignment="1">
      <alignment wrapText="1"/>
    </xf>
    <xf numFmtId="164" fontId="15" fillId="0" borderId="8" xfId="0" applyNumberFormat="1" applyFont="1" applyBorder="1" applyAlignment="1">
      <alignment wrapText="1"/>
    </xf>
    <xf numFmtId="1" fontId="35" fillId="0" borderId="0" xfId="8" applyNumberFormat="1" applyFont="1" applyBorder="1" applyAlignment="1">
      <alignment horizontal="center" wrapText="1"/>
    </xf>
    <xf numFmtId="0" fontId="15" fillId="4" borderId="8" xfId="0" applyFont="1" applyFill="1" applyBorder="1" applyAlignment="1">
      <alignment vertical="top" wrapText="1"/>
    </xf>
    <xf numFmtId="164" fontId="15" fillId="4" borderId="8" xfId="0" applyNumberFormat="1" applyFont="1" applyFill="1" applyBorder="1" applyAlignment="1">
      <alignment vertical="top" wrapText="1"/>
    </xf>
    <xf numFmtId="4" fontId="34" fillId="0" borderId="8" xfId="9" applyNumberFormat="1" applyFont="1" applyFill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 wrapText="1"/>
    </xf>
    <xf numFmtId="166" fontId="15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165" fontId="17" fillId="0" borderId="0" xfId="0" applyNumberFormat="1" applyFont="1"/>
    <xf numFmtId="0" fontId="17" fillId="0" borderId="8" xfId="0" applyFont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8" xfId="0" applyNumberFormat="1" applyFont="1" applyBorder="1" applyAlignment="1">
      <alignment vertical="top"/>
    </xf>
    <xf numFmtId="49" fontId="17" fillId="0" borderId="8" xfId="0" applyNumberFormat="1" applyFont="1" applyBorder="1" applyAlignment="1">
      <alignment horizontal="center" vertical="top" wrapText="1"/>
    </xf>
    <xf numFmtId="165" fontId="17" fillId="0" borderId="8" xfId="0" applyNumberFormat="1" applyFont="1" applyBorder="1" applyAlignment="1">
      <alignment horizontal="center" vertical="top"/>
    </xf>
    <xf numFmtId="49" fontId="17" fillId="0" borderId="8" xfId="0" applyNumberFormat="1" applyFont="1" applyBorder="1" applyAlignment="1">
      <alignment horizontal="center" vertical="top"/>
    </xf>
    <xf numFmtId="1" fontId="17" fillId="0" borderId="8" xfId="0" applyNumberFormat="1" applyFont="1" applyBorder="1" applyAlignment="1">
      <alignment horizontal="center" vertical="top"/>
    </xf>
    <xf numFmtId="164" fontId="17" fillId="0" borderId="8" xfId="0" applyNumberFormat="1" applyFont="1" applyBorder="1" applyAlignment="1">
      <alignment horizontal="center" vertical="top"/>
    </xf>
    <xf numFmtId="0" fontId="17" fillId="0" borderId="8" xfId="0" applyFont="1" applyBorder="1" applyAlignment="1">
      <alignment vertical="top" wrapText="1"/>
    </xf>
    <xf numFmtId="165" fontId="17" fillId="0" borderId="0" xfId="0" applyNumberFormat="1" applyFont="1" applyAlignment="1">
      <alignment vertical="top"/>
    </xf>
    <xf numFmtId="2" fontId="17" fillId="0" borderId="8" xfId="0" applyNumberFormat="1" applyFont="1" applyBorder="1" applyAlignment="1">
      <alignment horizontal="center" vertical="top"/>
    </xf>
    <xf numFmtId="49" fontId="17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/>
    <xf numFmtId="0" fontId="23" fillId="0" borderId="0" xfId="2" applyFont="1"/>
    <xf numFmtId="2" fontId="17" fillId="0" borderId="0" xfId="0" applyNumberFormat="1" applyFont="1" applyBorder="1" applyAlignment="1">
      <alignment horizontal="center"/>
    </xf>
    <xf numFmtId="0" fontId="36" fillId="5" borderId="0" xfId="0" applyFont="1" applyFill="1" applyAlignment="1">
      <alignment wrapText="1"/>
    </xf>
    <xf numFmtId="0" fontId="17" fillId="3" borderId="8" xfId="0" applyFont="1" applyFill="1" applyBorder="1" applyAlignment="1">
      <alignment horizontal="center" vertical="center" wrapText="1"/>
    </xf>
    <xf numFmtId="4" fontId="17" fillId="3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49" fontId="17" fillId="0" borderId="8" xfId="0" applyNumberFormat="1" applyFont="1" applyBorder="1"/>
    <xf numFmtId="0" fontId="17" fillId="0" borderId="8" xfId="0" applyFont="1" applyBorder="1" applyAlignment="1">
      <alignment wrapText="1"/>
    </xf>
    <xf numFmtId="49" fontId="17" fillId="0" borderId="5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/>
    </xf>
    <xf numFmtId="49" fontId="18" fillId="0" borderId="8" xfId="0" applyNumberFormat="1" applyFont="1" applyBorder="1"/>
    <xf numFmtId="0" fontId="18" fillId="0" borderId="8" xfId="0" applyFont="1" applyBorder="1"/>
    <xf numFmtId="164" fontId="18" fillId="0" borderId="8" xfId="0" applyNumberFormat="1" applyFont="1" applyBorder="1" applyAlignment="1">
      <alignment horizontal="center" vertical="center"/>
    </xf>
    <xf numFmtId="0" fontId="17" fillId="0" borderId="8" xfId="0" applyFont="1" applyBorder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left" vertical="center" wrapText="1"/>
    </xf>
    <xf numFmtId="165" fontId="18" fillId="0" borderId="8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2" fontId="22" fillId="0" borderId="15" xfId="0" applyNumberFormat="1" applyFont="1" applyFill="1" applyBorder="1" applyAlignment="1">
      <alignment horizontal="left"/>
    </xf>
    <xf numFmtId="2" fontId="22" fillId="0" borderId="8" xfId="0" applyNumberFormat="1" applyFont="1" applyFill="1" applyBorder="1" applyAlignment="1">
      <alignment horizontal="left"/>
    </xf>
    <xf numFmtId="0" fontId="17" fillId="3" borderId="8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3" fillId="0" borderId="8" xfId="0" applyFont="1" applyFill="1" applyBorder="1" applyAlignment="1">
      <alignment vertical="center"/>
    </xf>
    <xf numFmtId="0" fontId="28" fillId="0" borderId="8" xfId="0" applyFont="1" applyBorder="1"/>
    <xf numFmtId="0" fontId="33" fillId="0" borderId="15" xfId="0" applyFont="1" applyFill="1" applyBorder="1" applyAlignment="1">
      <alignment vertical="center"/>
    </xf>
    <xf numFmtId="0" fontId="28" fillId="0" borderId="15" xfId="0" applyFont="1" applyBorder="1"/>
    <xf numFmtId="0" fontId="15" fillId="0" borderId="15" xfId="0" applyFont="1" applyBorder="1" applyAlignment="1">
      <alignment horizontal="center"/>
    </xf>
    <xf numFmtId="9" fontId="17" fillId="0" borderId="0" xfId="1" applyFont="1"/>
    <xf numFmtId="0" fontId="37" fillId="3" borderId="8" xfId="0" applyFont="1" applyFill="1" applyBorder="1" applyAlignment="1">
      <alignment horizontal="center" vertical="top" wrapText="1"/>
    </xf>
    <xf numFmtId="9" fontId="17" fillId="0" borderId="8" xfId="1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center" wrapText="1"/>
    </xf>
    <xf numFmtId="165" fontId="18" fillId="0" borderId="8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3" fontId="18" fillId="0" borderId="0" xfId="0" applyNumberFormat="1" applyFont="1" applyBorder="1" applyAlignment="1">
      <alignment horizontal="center" vertical="center"/>
    </xf>
    <xf numFmtId="164" fontId="22" fillId="0" borderId="8" xfId="3" applyNumberFormat="1" applyFont="1" applyFill="1" applyBorder="1" applyAlignment="1">
      <alignment horizontal="center" vertical="center"/>
    </xf>
    <xf numFmtId="164" fontId="23" fillId="0" borderId="8" xfId="3" applyNumberFormat="1" applyFont="1" applyFill="1" applyBorder="1" applyAlignment="1">
      <alignment horizontal="center" vertical="center"/>
    </xf>
    <xf numFmtId="164" fontId="23" fillId="0" borderId="8" xfId="5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23" fillId="0" borderId="0" xfId="3" applyFont="1" applyFill="1" applyAlignment="1">
      <alignment horizontal="right"/>
    </xf>
    <xf numFmtId="0" fontId="17" fillId="3" borderId="8" xfId="0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vertical="top"/>
    </xf>
    <xf numFmtId="165" fontId="17" fillId="3" borderId="8" xfId="0" applyNumberFormat="1" applyFont="1" applyFill="1" applyBorder="1" applyAlignment="1">
      <alignment horizontal="center" vertical="top" wrapText="1"/>
    </xf>
    <xf numFmtId="0" fontId="29" fillId="3" borderId="8" xfId="2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7" fillId="5" borderId="8" xfId="0" applyNumberFormat="1" applyFont="1" applyFill="1" applyBorder="1" applyAlignment="1">
      <alignment horizontal="center" vertical="top"/>
    </xf>
    <xf numFmtId="0" fontId="17" fillId="5" borderId="8" xfId="0" applyFont="1" applyFill="1" applyBorder="1" applyAlignment="1">
      <alignment horizontal="center" vertical="top" wrapText="1"/>
    </xf>
    <xf numFmtId="49" fontId="17" fillId="5" borderId="8" xfId="0" applyNumberFormat="1" applyFont="1" applyFill="1" applyBorder="1" applyAlignment="1">
      <alignment horizontal="center" vertical="top" wrapText="1"/>
    </xf>
    <xf numFmtId="49" fontId="18" fillId="5" borderId="8" xfId="0" applyNumberFormat="1" applyFont="1" applyFill="1" applyBorder="1" applyAlignment="1">
      <alignment vertical="top"/>
    </xf>
    <xf numFmtId="0" fontId="18" fillId="5" borderId="8" xfId="0" applyFont="1" applyFill="1" applyBorder="1" applyAlignment="1">
      <alignment vertical="top" wrapText="1"/>
    </xf>
    <xf numFmtId="49" fontId="18" fillId="5" borderId="8" xfId="0" applyNumberFormat="1" applyFont="1" applyFill="1" applyBorder="1" applyAlignment="1">
      <alignment horizontal="center" vertical="top"/>
    </xf>
    <xf numFmtId="164" fontId="18" fillId="5" borderId="8" xfId="0" applyNumberFormat="1" applyFont="1" applyFill="1" applyBorder="1" applyAlignment="1">
      <alignment horizontal="right" vertical="top" wrapText="1"/>
    </xf>
    <xf numFmtId="9" fontId="17" fillId="5" borderId="8" xfId="1" applyFont="1" applyFill="1" applyBorder="1" applyAlignment="1">
      <alignment horizontal="right" vertical="top" wrapText="1"/>
    </xf>
    <xf numFmtId="49" fontId="17" fillId="5" borderId="8" xfId="0" applyNumberFormat="1" applyFont="1" applyFill="1" applyBorder="1" applyAlignment="1">
      <alignment vertical="top"/>
    </xf>
    <xf numFmtId="0" fontId="17" fillId="5" borderId="8" xfId="0" applyFont="1" applyFill="1" applyBorder="1" applyAlignment="1">
      <alignment vertical="top" wrapText="1"/>
    </xf>
    <xf numFmtId="164" fontId="17" fillId="5" borderId="8" xfId="0" applyNumberFormat="1" applyFont="1" applyFill="1" applyBorder="1" applyAlignment="1">
      <alignment horizontal="right" vertical="top" wrapText="1"/>
    </xf>
    <xf numFmtId="164" fontId="17" fillId="5" borderId="8" xfId="0" applyNumberFormat="1" applyFont="1" applyFill="1" applyBorder="1" applyAlignment="1">
      <alignment vertical="top" wrapText="1"/>
    </xf>
    <xf numFmtId="0" fontId="17" fillId="5" borderId="8" xfId="0" applyFont="1" applyFill="1" applyBorder="1" applyAlignment="1">
      <alignment vertical="top"/>
    </xf>
    <xf numFmtId="4" fontId="17" fillId="0" borderId="8" xfId="0" applyNumberFormat="1" applyFont="1" applyBorder="1"/>
    <xf numFmtId="9" fontId="18" fillId="5" borderId="8" xfId="1" applyFont="1" applyFill="1" applyBorder="1" applyAlignment="1">
      <alignment horizontal="right" vertical="top" wrapText="1"/>
    </xf>
    <xf numFmtId="0" fontId="17" fillId="0" borderId="8" xfId="0" applyFont="1" applyFill="1" applyBorder="1" applyAlignment="1">
      <alignment vertical="top" wrapText="1"/>
    </xf>
    <xf numFmtId="166" fontId="17" fillId="0" borderId="0" xfId="0" applyNumberFormat="1" applyFont="1"/>
    <xf numFmtId="0" fontId="18" fillId="0" borderId="15" xfId="0" applyFont="1" applyBorder="1"/>
    <xf numFmtId="165" fontId="18" fillId="0" borderId="15" xfId="0" applyNumberFormat="1" applyFont="1" applyBorder="1" applyAlignment="1">
      <alignment horizontal="center" vertical="center"/>
    </xf>
    <xf numFmtId="9" fontId="17" fillId="0" borderId="15" xfId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wrapText="1"/>
    </xf>
    <xf numFmtId="49" fontId="17" fillId="0" borderId="21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9" fontId="17" fillId="0" borderId="14" xfId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165" fontId="18" fillId="0" borderId="14" xfId="0" applyNumberFormat="1" applyFont="1" applyBorder="1" applyAlignment="1">
      <alignment horizontal="center" vertical="center"/>
    </xf>
    <xf numFmtId="165" fontId="18" fillId="0" borderId="14" xfId="0" applyNumberFormat="1" applyFont="1" applyBorder="1" applyAlignment="1">
      <alignment horizontal="center" vertical="center" wrapText="1"/>
    </xf>
    <xf numFmtId="172" fontId="17" fillId="0" borderId="0" xfId="0" applyNumberFormat="1" applyFont="1"/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17" fillId="0" borderId="0" xfId="1" applyNumberFormat="1" applyFont="1"/>
    <xf numFmtId="9" fontId="18" fillId="0" borderId="0" xfId="1" applyFont="1"/>
    <xf numFmtId="0" fontId="26" fillId="0" borderId="0" xfId="0" applyFont="1"/>
    <xf numFmtId="0" fontId="39" fillId="0" borderId="0" xfId="10" applyFont="1" applyFill="1"/>
    <xf numFmtId="0" fontId="17" fillId="0" borderId="8" xfId="0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4" fontId="18" fillId="0" borderId="8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164" fontId="17" fillId="0" borderId="8" xfId="0" applyNumberFormat="1" applyFont="1" applyBorder="1"/>
    <xf numFmtId="4" fontId="17" fillId="0" borderId="8" xfId="0" applyNumberFormat="1" applyFont="1" applyFill="1" applyBorder="1"/>
    <xf numFmtId="0" fontId="18" fillId="0" borderId="8" xfId="0" applyFont="1" applyBorder="1" applyAlignment="1">
      <alignment wrapText="1"/>
    </xf>
    <xf numFmtId="164" fontId="18" fillId="0" borderId="8" xfId="0" applyNumberFormat="1" applyFont="1" applyBorder="1"/>
    <xf numFmtId="4" fontId="18" fillId="0" borderId="8" xfId="0" applyNumberFormat="1" applyFont="1" applyFill="1" applyBorder="1"/>
    <xf numFmtId="4" fontId="18" fillId="0" borderId="8" xfId="0" applyNumberFormat="1" applyFont="1" applyBorder="1"/>
    <xf numFmtId="0" fontId="17" fillId="3" borderId="8" xfId="0" applyFont="1" applyFill="1" applyBorder="1" applyAlignment="1">
      <alignment horizontal="center" vertical="top" wrapText="1"/>
    </xf>
    <xf numFmtId="164" fontId="17" fillId="0" borderId="8" xfId="0" applyNumberFormat="1" applyFont="1" applyFill="1" applyBorder="1"/>
    <xf numFmtId="164" fontId="18" fillId="0" borderId="8" xfId="0" applyNumberFormat="1" applyFont="1" applyFill="1" applyBorder="1"/>
    <xf numFmtId="49" fontId="23" fillId="0" borderId="8" xfId="2" applyNumberFormat="1" applyFont="1" applyFill="1" applyBorder="1" applyAlignment="1">
      <alignment wrapText="1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wrapText="1"/>
    </xf>
    <xf numFmtId="49" fontId="23" fillId="0" borderId="8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0" fillId="0" borderId="8" xfId="0" applyNumberFormat="1" applyFill="1" applyBorder="1" applyAlignment="1">
      <alignment vertical="top" wrapText="1"/>
    </xf>
    <xf numFmtId="4" fontId="0" fillId="0" borderId="8" xfId="0" applyNumberFormat="1" applyFont="1" applyFill="1" applyBorder="1" applyAlignment="1">
      <alignment horizontal="right" vertical="top" wrapText="1"/>
    </xf>
    <xf numFmtId="0" fontId="19" fillId="0" borderId="8" xfId="0" applyNumberFormat="1" applyFont="1" applyFill="1" applyBorder="1" applyAlignment="1">
      <alignment vertical="top" wrapText="1"/>
    </xf>
    <xf numFmtId="4" fontId="19" fillId="0" borderId="8" xfId="0" applyNumberFormat="1" applyFont="1" applyFill="1" applyBorder="1" applyAlignment="1">
      <alignment horizontal="right" vertical="top" wrapText="1"/>
    </xf>
    <xf numFmtId="4" fontId="0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23" fillId="0" borderId="8" xfId="3" applyFont="1" applyFill="1" applyBorder="1"/>
    <xf numFmtId="164" fontId="22" fillId="0" borderId="8" xfId="3" applyNumberFormat="1" applyFont="1" applyFill="1" applyBorder="1"/>
    <xf numFmtId="4" fontId="22" fillId="0" borderId="8" xfId="3" applyNumberFormat="1" applyFont="1" applyFill="1" applyBorder="1"/>
    <xf numFmtId="9" fontId="23" fillId="0" borderId="0" xfId="1" applyFont="1" applyFill="1"/>
    <xf numFmtId="0" fontId="18" fillId="0" borderId="0" xfId="0" applyFont="1" applyAlignment="1">
      <alignment vertical="top"/>
    </xf>
    <xf numFmtId="2" fontId="0" fillId="0" borderId="0" xfId="0" applyNumberFormat="1" applyFont="1" applyAlignment="1">
      <alignment wrapText="1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top"/>
    </xf>
    <xf numFmtId="0" fontId="0" fillId="0" borderId="8" xfId="0" applyFont="1" applyBorder="1"/>
    <xf numFmtId="2" fontId="0" fillId="0" borderId="8" xfId="0" applyNumberFormat="1" applyFont="1" applyBorder="1" applyAlignment="1">
      <alignment wrapText="1"/>
    </xf>
    <xf numFmtId="0" fontId="19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4" fontId="0" fillId="0" borderId="8" xfId="0" applyNumberFormat="1" applyFont="1" applyBorder="1" applyAlignment="1">
      <alignment horizontal="center" wrapText="1"/>
    </xf>
    <xf numFmtId="0" fontId="40" fillId="0" borderId="0" xfId="2" applyFont="1"/>
    <xf numFmtId="0" fontId="0" fillId="3" borderId="8" xfId="0" applyFont="1" applyFill="1" applyBorder="1" applyAlignment="1">
      <alignment horizontal="center" vertical="top" wrapText="1"/>
    </xf>
    <xf numFmtId="2" fontId="0" fillId="3" borderId="8" xfId="0" applyNumberFormat="1" applyFont="1" applyFill="1" applyBorder="1" applyAlignment="1">
      <alignment horizontal="left" vertical="top" wrapText="1"/>
    </xf>
    <xf numFmtId="0" fontId="19" fillId="3" borderId="8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center" wrapText="1"/>
    </xf>
    <xf numFmtId="0" fontId="23" fillId="0" borderId="0" xfId="3" applyFont="1" applyFill="1" applyAlignment="1">
      <alignment horizontal="center"/>
    </xf>
    <xf numFmtId="164" fontId="23" fillId="0" borderId="0" xfId="3" applyNumberFormat="1" applyFont="1" applyFill="1"/>
    <xf numFmtId="4" fontId="17" fillId="0" borderId="14" xfId="0" applyNumberFormat="1" applyFont="1" applyBorder="1" applyAlignment="1">
      <alignment horizontal="center" vertical="center" wrapText="1"/>
    </xf>
    <xf numFmtId="4" fontId="17" fillId="3" borderId="8" xfId="0" applyNumberFormat="1" applyFont="1" applyFill="1" applyBorder="1" applyAlignment="1">
      <alignment horizontal="center" vertical="top" wrapText="1"/>
    </xf>
    <xf numFmtId="4" fontId="17" fillId="5" borderId="8" xfId="0" applyNumberFormat="1" applyFont="1" applyFill="1" applyBorder="1" applyAlignment="1">
      <alignment horizontal="center" vertical="top" wrapText="1"/>
    </xf>
    <xf numFmtId="4" fontId="18" fillId="5" borderId="8" xfId="0" applyNumberFormat="1" applyFont="1" applyFill="1" applyBorder="1" applyAlignment="1">
      <alignment horizontal="right" vertical="top" wrapText="1"/>
    </xf>
    <xf numFmtId="4" fontId="17" fillId="5" borderId="8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9" fontId="15" fillId="0" borderId="8" xfId="0" applyNumberFormat="1" applyFont="1" applyBorder="1" applyAlignment="1">
      <alignment vertical="top"/>
    </xf>
    <xf numFmtId="165" fontId="15" fillId="0" borderId="8" xfId="0" applyNumberFormat="1" applyFont="1" applyBorder="1" applyAlignment="1">
      <alignment horizontal="center" vertical="top"/>
    </xf>
    <xf numFmtId="2" fontId="15" fillId="0" borderId="8" xfId="0" applyNumberFormat="1" applyFont="1" applyBorder="1" applyAlignment="1">
      <alignment horizontal="center" vertical="top"/>
    </xf>
    <xf numFmtId="0" fontId="43" fillId="0" borderId="0" xfId="0" applyFont="1"/>
    <xf numFmtId="167" fontId="44" fillId="0" borderId="0" xfId="0" applyNumberFormat="1" applyFont="1" applyAlignment="1">
      <alignment horizontal="center" vertical="center"/>
    </xf>
    <xf numFmtId="167" fontId="44" fillId="0" borderId="0" xfId="1" applyNumberFormat="1" applyFont="1" applyFill="1" applyAlignment="1">
      <alignment horizontal="center" vertical="center"/>
    </xf>
    <xf numFmtId="164" fontId="45" fillId="0" borderId="0" xfId="0" applyNumberFormat="1" applyFont="1" applyFill="1"/>
    <xf numFmtId="164" fontId="43" fillId="0" borderId="0" xfId="0" applyNumberFormat="1" applyFont="1" applyFill="1"/>
    <xf numFmtId="0" fontId="45" fillId="0" borderId="0" xfId="0" applyFont="1" applyFill="1"/>
    <xf numFmtId="49" fontId="45" fillId="0" borderId="0" xfId="0" applyNumberFormat="1" applyFont="1" applyFill="1"/>
    <xf numFmtId="166" fontId="45" fillId="0" borderId="0" xfId="0" applyNumberFormat="1" applyFont="1" applyFill="1"/>
    <xf numFmtId="0" fontId="43" fillId="0" borderId="0" xfId="0" applyFont="1" applyFill="1"/>
    <xf numFmtId="49" fontId="45" fillId="0" borderId="0" xfId="0" applyNumberFormat="1" applyFont="1"/>
    <xf numFmtId="0" fontId="45" fillId="0" borderId="0" xfId="0" applyFont="1"/>
    <xf numFmtId="9" fontId="47" fillId="0" borderId="0" xfId="1" applyFont="1"/>
    <xf numFmtId="4" fontId="47" fillId="0" borderId="8" xfId="0" applyNumberFormat="1" applyFont="1" applyBorder="1" applyAlignment="1">
      <alignment horizontal="center" vertical="center" wrapText="1"/>
    </xf>
    <xf numFmtId="4" fontId="46" fillId="0" borderId="15" xfId="0" applyNumberFormat="1" applyFont="1" applyBorder="1" applyAlignment="1">
      <alignment horizontal="center" vertical="center" wrapText="1"/>
    </xf>
    <xf numFmtId="0" fontId="48" fillId="0" borderId="0" xfId="0" applyFont="1"/>
    <xf numFmtId="172" fontId="48" fillId="0" borderId="0" xfId="0" applyNumberFormat="1" applyFont="1"/>
    <xf numFmtId="0" fontId="47" fillId="0" borderId="0" xfId="0" applyFont="1"/>
    <xf numFmtId="172" fontId="47" fillId="0" borderId="0" xfId="0" applyNumberFormat="1" applyFont="1"/>
    <xf numFmtId="172" fontId="49" fillId="0" borderId="0" xfId="0" applyNumberFormat="1" applyFont="1" applyAlignment="1">
      <alignment horizontal="justify" vertical="center"/>
    </xf>
    <xf numFmtId="172" fontId="49" fillId="0" borderId="0" xfId="0" applyNumberFormat="1" applyFont="1" applyFill="1" applyAlignment="1">
      <alignment horizontal="justify" vertical="center"/>
    </xf>
    <xf numFmtId="171" fontId="47" fillId="0" borderId="0" xfId="0" applyNumberFormat="1" applyFont="1" applyFill="1"/>
    <xf numFmtId="172" fontId="47" fillId="0" borderId="0" xfId="0" applyNumberFormat="1" applyFont="1" applyFill="1" applyAlignment="1">
      <alignment horizontal="justify" vertical="center"/>
    </xf>
    <xf numFmtId="0" fontId="47" fillId="0" borderId="0" xfId="0" applyFont="1" applyFill="1"/>
    <xf numFmtId="172" fontId="47" fillId="0" borderId="0" xfId="0" applyNumberFormat="1" applyFont="1" applyFill="1" applyAlignment="1">
      <alignment horizontal="center" vertical="center"/>
    </xf>
    <xf numFmtId="0" fontId="46" fillId="0" borderId="0" xfId="0" applyFont="1" applyFill="1"/>
    <xf numFmtId="166" fontId="47" fillId="0" borderId="0" xfId="0" applyNumberFormat="1" applyFont="1"/>
    <xf numFmtId="164" fontId="47" fillId="0" borderId="0" xfId="0" applyNumberFormat="1" applyFont="1"/>
    <xf numFmtId="164" fontId="0" fillId="0" borderId="8" xfId="0" applyNumberFormat="1" applyFont="1" applyBorder="1" applyAlignment="1">
      <alignment horizontal="center" vertical="center" wrapText="1"/>
    </xf>
    <xf numFmtId="166" fontId="17" fillId="5" borderId="8" xfId="0" applyNumberFormat="1" applyFont="1" applyFill="1" applyBorder="1" applyAlignment="1">
      <alignment horizontal="right" vertical="top" wrapText="1"/>
    </xf>
    <xf numFmtId="164" fontId="17" fillId="5" borderId="8" xfId="1" applyNumberFormat="1" applyFont="1" applyFill="1" applyBorder="1" applyAlignment="1">
      <alignment horizontal="right" vertical="top" wrapText="1"/>
    </xf>
    <xf numFmtId="164" fontId="47" fillId="5" borderId="8" xfId="1" applyNumberFormat="1" applyFont="1" applyFill="1" applyBorder="1" applyAlignment="1">
      <alignment horizontal="right" vertical="top" wrapText="1"/>
    </xf>
    <xf numFmtId="2" fontId="17" fillId="0" borderId="0" xfId="0" applyNumberFormat="1" applyFont="1"/>
    <xf numFmtId="4" fontId="17" fillId="0" borderId="1" xfId="0" applyNumberFormat="1" applyFont="1" applyFill="1" applyBorder="1" applyAlignment="1">
      <alignment horizontal="center" vertical="center" wrapText="1"/>
    </xf>
    <xf numFmtId="167" fontId="43" fillId="0" borderId="0" xfId="1" applyNumberFormat="1" applyFont="1" applyFill="1"/>
    <xf numFmtId="0" fontId="50" fillId="0" borderId="0" xfId="0" applyFont="1" applyFill="1"/>
    <xf numFmtId="2" fontId="23" fillId="0" borderId="0" xfId="3" applyNumberFormat="1" applyFont="1" applyFill="1"/>
    <xf numFmtId="0" fontId="22" fillId="0" borderId="8" xfId="3" applyFont="1" applyFill="1" applyBorder="1" applyAlignment="1">
      <alignment horizontal="left" wrapText="1"/>
    </xf>
    <xf numFmtId="2" fontId="18" fillId="0" borderId="15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 wrapText="1"/>
    </xf>
    <xf numFmtId="2" fontId="28" fillId="0" borderId="14" xfId="0" applyNumberFormat="1" applyFont="1" applyBorder="1" applyAlignment="1">
      <alignment horizontal="center" vertical="top"/>
    </xf>
    <xf numFmtId="0" fontId="41" fillId="0" borderId="0" xfId="3" applyFont="1" applyFill="1"/>
    <xf numFmtId="164" fontId="41" fillId="0" borderId="8" xfId="3" applyNumberFormat="1" applyFont="1" applyFill="1" applyBorder="1"/>
    <xf numFmtId="4" fontId="41" fillId="0" borderId="8" xfId="3" applyNumberFormat="1" applyFont="1" applyFill="1" applyBorder="1"/>
    <xf numFmtId="0" fontId="51" fillId="0" borderId="8" xfId="0" applyFont="1" applyFill="1" applyBorder="1" applyAlignment="1">
      <alignment vertical="center"/>
    </xf>
    <xf numFmtId="3" fontId="17" fillId="5" borderId="8" xfId="0" applyNumberFormat="1" applyFont="1" applyFill="1" applyBorder="1" applyAlignment="1">
      <alignment horizontal="center" vertical="top" wrapText="1"/>
    </xf>
    <xf numFmtId="0" fontId="23" fillId="0" borderId="0" xfId="0" applyFont="1"/>
    <xf numFmtId="0" fontId="4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4" fontId="52" fillId="0" borderId="8" xfId="0" applyNumberFormat="1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20" fillId="0" borderId="0" xfId="0" applyFont="1"/>
    <xf numFmtId="0" fontId="22" fillId="0" borderId="0" xfId="0" applyFont="1"/>
    <xf numFmtId="170" fontId="17" fillId="5" borderId="8" xfId="1" applyNumberFormat="1" applyFont="1" applyFill="1" applyBorder="1" applyAlignment="1">
      <alignment horizontal="right" vertical="top" wrapText="1"/>
    </xf>
    <xf numFmtId="9" fontId="17" fillId="5" borderId="8" xfId="1" applyNumberFormat="1" applyFont="1" applyFill="1" applyBorder="1" applyAlignment="1">
      <alignment horizontal="right" vertical="top" wrapText="1"/>
    </xf>
    <xf numFmtId="9" fontId="18" fillId="5" borderId="8" xfId="0" applyNumberFormat="1" applyFont="1" applyFill="1" applyBorder="1" applyAlignment="1">
      <alignment horizontal="right" vertical="top" wrapText="1"/>
    </xf>
    <xf numFmtId="9" fontId="18" fillId="5" borderId="8" xfId="1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3" borderId="8" xfId="0" applyFont="1" applyFill="1" applyBorder="1" applyAlignment="1">
      <alignment horizontal="center" vertical="top" wrapText="1"/>
    </xf>
    <xf numFmtId="4" fontId="17" fillId="0" borderId="0" xfId="0" applyNumberFormat="1" applyFont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4" fontId="17" fillId="0" borderId="8" xfId="0" applyNumberFormat="1" applyFont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4" fontId="17" fillId="0" borderId="14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4" fontId="18" fillId="0" borderId="0" xfId="3" applyNumberFormat="1" applyFont="1" applyFill="1" applyBorder="1" applyAlignment="1">
      <alignment horizontal="center" vertical="center"/>
    </xf>
    <xf numFmtId="0" fontId="17" fillId="0" borderId="0" xfId="3" applyFont="1" applyFill="1"/>
    <xf numFmtId="165" fontId="15" fillId="0" borderId="15" xfId="0" applyNumberFormat="1" applyFont="1" applyBorder="1"/>
    <xf numFmtId="164" fontId="17" fillId="0" borderId="8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vertical="center" wrapText="1"/>
    </xf>
    <xf numFmtId="0" fontId="20" fillId="0" borderId="0" xfId="4" applyFont="1" applyFill="1" applyBorder="1" applyAlignment="1">
      <alignment horizontal="center" vertical="center" wrapText="1"/>
    </xf>
    <xf numFmtId="164" fontId="22" fillId="0" borderId="10" xfId="3" applyNumberFormat="1" applyFont="1" applyFill="1" applyBorder="1" applyAlignment="1">
      <alignment horizontal="center" vertical="center"/>
    </xf>
    <xf numFmtId="164" fontId="22" fillId="0" borderId="12" xfId="3" applyNumberFormat="1" applyFont="1" applyFill="1" applyBorder="1" applyAlignment="1">
      <alignment horizontal="center" vertical="center"/>
    </xf>
    <xf numFmtId="4" fontId="22" fillId="0" borderId="10" xfId="3" applyNumberFormat="1" applyFont="1" applyFill="1" applyBorder="1" applyAlignment="1">
      <alignment horizontal="center" vertical="center"/>
    </xf>
    <xf numFmtId="4" fontId="22" fillId="0" borderId="12" xfId="3" applyNumberFormat="1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 wrapText="1"/>
    </xf>
    <xf numFmtId="0" fontId="22" fillId="3" borderId="8" xfId="3" applyFont="1" applyFill="1" applyBorder="1" applyAlignment="1">
      <alignment horizontal="center" vertical="center" wrapText="1"/>
    </xf>
    <xf numFmtId="0" fontId="22" fillId="3" borderId="8" xfId="3" applyFont="1" applyFill="1" applyBorder="1" applyAlignment="1">
      <alignment horizontal="center" vertical="center"/>
    </xf>
    <xf numFmtId="0" fontId="23" fillId="0" borderId="22" xfId="3" applyFont="1" applyFill="1" applyBorder="1" applyAlignment="1">
      <alignment horizontal="center"/>
    </xf>
    <xf numFmtId="0" fontId="23" fillId="0" borderId="0" xfId="3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9" fontId="17" fillId="3" borderId="8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164" fontId="15" fillId="0" borderId="13" xfId="0" applyNumberFormat="1" applyFont="1" applyBorder="1" applyAlignment="1">
      <alignment horizontal="center" vertical="center" wrapText="1"/>
    </xf>
    <xf numFmtId="164" fontId="15" fillId="0" borderId="16" xfId="0" applyNumberFormat="1" applyFont="1" applyBorder="1" applyAlignment="1">
      <alignment horizontal="center" vertical="center" wrapText="1"/>
    </xf>
    <xf numFmtId="164" fontId="15" fillId="0" borderId="15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6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 vertical="top" wrapText="1"/>
    </xf>
    <xf numFmtId="0" fontId="15" fillId="3" borderId="11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center" vertical="top"/>
    </xf>
    <xf numFmtId="0" fontId="29" fillId="3" borderId="8" xfId="2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49" fontId="26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165" fontId="17" fillId="3" borderId="8" xfId="0" applyNumberFormat="1" applyFont="1" applyFill="1" applyBorder="1" applyAlignment="1">
      <alignment horizontal="center" vertical="top"/>
    </xf>
    <xf numFmtId="0" fontId="17" fillId="3" borderId="8" xfId="0" applyFont="1" applyFill="1" applyBorder="1" applyAlignment="1">
      <alignment horizontal="center" vertical="top" wrapText="1"/>
    </xf>
    <xf numFmtId="49" fontId="17" fillId="3" borderId="8" xfId="0" applyNumberFormat="1" applyFont="1" applyFill="1" applyBorder="1" applyAlignment="1">
      <alignment horizontal="center" vertical="top"/>
    </xf>
    <xf numFmtId="49" fontId="17" fillId="3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top" wrapText="1"/>
    </xf>
    <xf numFmtId="0" fontId="17" fillId="3" borderId="15" xfId="0" applyFont="1" applyFill="1" applyBorder="1" applyAlignment="1">
      <alignment horizontal="center" vertical="top" wrapText="1"/>
    </xf>
    <xf numFmtId="49" fontId="17" fillId="3" borderId="8" xfId="0" applyNumberFormat="1" applyFont="1" applyFill="1" applyBorder="1" applyAlignment="1">
      <alignment vertical="top" wrapText="1"/>
    </xf>
    <xf numFmtId="49" fontId="17" fillId="3" borderId="8" xfId="0" applyNumberFormat="1" applyFont="1" applyFill="1" applyBorder="1" applyAlignment="1">
      <alignment horizontal="center" vertical="top" wrapText="1"/>
    </xf>
    <xf numFmtId="0" fontId="0" fillId="0" borderId="8" xfId="0" applyNumberFormat="1" applyFont="1" applyFill="1" applyBorder="1" applyAlignment="1">
      <alignment horizontal="right" vertical="top" wrapText="1" indent="4"/>
    </xf>
    <xf numFmtId="0" fontId="0" fillId="0" borderId="8" xfId="0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17" fillId="3" borderId="8" xfId="0" applyFont="1" applyFill="1" applyBorder="1" applyAlignment="1">
      <alignment horizontal="left" vertical="top" wrapText="1"/>
    </xf>
    <xf numFmtId="2" fontId="4" fillId="0" borderId="10" xfId="0" applyNumberFormat="1" applyFont="1" applyBorder="1" applyAlignment="1">
      <alignment horizontal="left" wrapText="1"/>
    </xf>
    <xf numFmtId="2" fontId="4" fillId="0" borderId="11" xfId="0" applyNumberFormat="1" applyFont="1" applyBorder="1" applyAlignment="1">
      <alignment horizontal="left" wrapText="1"/>
    </xf>
    <xf numFmtId="2" fontId="4" fillId="0" borderId="12" xfId="0" applyNumberFormat="1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top" wrapText="1"/>
    </xf>
  </cellXfs>
  <cellStyles count="11">
    <cellStyle name="Excel Built-in Normal" xfId="8"/>
    <cellStyle name="TableStyleLight1" xfId="9"/>
    <cellStyle name="Гиперссылка" xfId="10" builtinId="8"/>
    <cellStyle name="Обычный" xfId="0" builtinId="0"/>
    <cellStyle name="Обычный 2" xfId="3"/>
    <cellStyle name="Обычный 2 2 2" xfId="5"/>
    <cellStyle name="Обычный 2 2 3" xfId="6"/>
    <cellStyle name="Обычный 2 3" xfId="7"/>
    <cellStyle name="Обычный 3" xfId="2"/>
    <cellStyle name="Обычный 3 2" xfId="4"/>
    <cellStyle name="Процентный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300789</xdr:colOff>
      <xdr:row>30</xdr:row>
      <xdr:rowOff>0</xdr:rowOff>
    </xdr:from>
    <xdr:to>
      <xdr:col>8</xdr:col>
      <xdr:colOff>786565</xdr:colOff>
      <xdr:row>58</xdr:row>
      <xdr:rowOff>66674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89" y="7569868"/>
          <a:ext cx="8025565" cy="568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2" workbookViewId="0">
      <selection activeCell="B18" sqref="B18"/>
    </sheetView>
  </sheetViews>
  <sheetFormatPr defaultRowHeight="18.75" x14ac:dyDescent="0.3"/>
  <cols>
    <col min="1" max="1" width="6" style="20" customWidth="1"/>
    <col min="2" max="2" width="63.28515625" style="20" customWidth="1"/>
    <col min="3" max="3" width="19.42578125" style="20" customWidth="1"/>
    <col min="4" max="16384" width="9.140625" style="20"/>
  </cols>
  <sheetData>
    <row r="1" spans="1:3" ht="93" customHeight="1" x14ac:dyDescent="0.3">
      <c r="A1" s="424" t="s">
        <v>27</v>
      </c>
      <c r="B1" s="425"/>
      <c r="C1" s="425"/>
    </row>
    <row r="2" spans="1:3" x14ac:dyDescent="0.3">
      <c r="A2" s="425" t="s">
        <v>26</v>
      </c>
      <c r="B2" s="425"/>
      <c r="C2" s="425"/>
    </row>
    <row r="4" spans="1:3" ht="37.5" x14ac:dyDescent="0.3">
      <c r="A4" s="21" t="s">
        <v>0</v>
      </c>
      <c r="B4" s="21" t="s">
        <v>1</v>
      </c>
      <c r="C4" s="21" t="s">
        <v>2</v>
      </c>
    </row>
    <row r="5" spans="1:3" x14ac:dyDescent="0.3">
      <c r="A5" s="22">
        <v>1</v>
      </c>
      <c r="B5" s="23" t="s">
        <v>3</v>
      </c>
      <c r="C5" s="23" t="s">
        <v>4</v>
      </c>
    </row>
    <row r="6" spans="1:3" ht="37.5" x14ac:dyDescent="0.3">
      <c r="A6" s="22">
        <v>2</v>
      </c>
      <c r="B6" s="23" t="s">
        <v>5</v>
      </c>
      <c r="C6" s="23" t="s">
        <v>4</v>
      </c>
    </row>
    <row r="7" spans="1:3" ht="37.5" x14ac:dyDescent="0.3">
      <c r="A7" s="22">
        <v>3</v>
      </c>
      <c r="B7" s="23" t="s">
        <v>6</v>
      </c>
      <c r="C7" s="23" t="s">
        <v>4</v>
      </c>
    </row>
    <row r="8" spans="1:3" x14ac:dyDescent="0.3">
      <c r="A8" s="22">
        <v>4</v>
      </c>
      <c r="B8" s="23" t="s">
        <v>28</v>
      </c>
      <c r="C8" s="23" t="s">
        <v>4</v>
      </c>
    </row>
    <row r="9" spans="1:3" x14ac:dyDescent="0.3">
      <c r="A9" s="22">
        <v>5</v>
      </c>
      <c r="B9" s="23" t="s">
        <v>274</v>
      </c>
      <c r="C9" s="23" t="s">
        <v>4</v>
      </c>
    </row>
    <row r="10" spans="1:3" ht="56.25" x14ac:dyDescent="0.3">
      <c r="A10" s="22">
        <v>6</v>
      </c>
      <c r="B10" s="23" t="s">
        <v>7</v>
      </c>
      <c r="C10" s="23" t="s">
        <v>4</v>
      </c>
    </row>
    <row r="11" spans="1:3" ht="37.5" x14ac:dyDescent="0.3">
      <c r="A11" s="22">
        <v>7</v>
      </c>
      <c r="B11" s="23" t="s">
        <v>8</v>
      </c>
      <c r="C11" s="23" t="s">
        <v>4</v>
      </c>
    </row>
    <row r="12" spans="1:3" x14ac:dyDescent="0.3">
      <c r="A12" s="22">
        <v>8</v>
      </c>
      <c r="B12" s="23" t="s">
        <v>275</v>
      </c>
      <c r="C12" s="23" t="s">
        <v>4</v>
      </c>
    </row>
    <row r="13" spans="1:3" x14ac:dyDescent="0.3">
      <c r="A13" s="22">
        <v>9</v>
      </c>
      <c r="B13" s="23" t="s">
        <v>9</v>
      </c>
      <c r="C13" s="23" t="s">
        <v>4</v>
      </c>
    </row>
    <row r="14" spans="1:3" ht="37.5" x14ac:dyDescent="0.3">
      <c r="A14" s="22">
        <v>10</v>
      </c>
      <c r="B14" s="23" t="s">
        <v>10</v>
      </c>
      <c r="C14" s="23" t="s">
        <v>4</v>
      </c>
    </row>
  </sheetData>
  <mergeCells count="2">
    <mergeCell ref="A1:C1"/>
    <mergeCell ref="A2:C2"/>
  </mergeCells>
  <pageMargins left="0.78740157480314965" right="0.39370078740157483" top="0.39370078740157483" bottom="0.39370078740157483" header="0" footer="0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9"/>
  <sheetViews>
    <sheetView zoomScale="82" zoomScaleNormal="82" workbookViewId="0">
      <pane xSplit="3" ySplit="5" topLeftCell="D6" activePane="bottomRight" state="frozenSplit"/>
      <selection activeCell="D28" sqref="D28"/>
      <selection pane="topRight" activeCell="D28" sqref="D28"/>
      <selection pane="bottomLeft" activeCell="D28" sqref="D28"/>
      <selection pane="bottomRight" activeCell="O16" sqref="O16"/>
    </sheetView>
  </sheetViews>
  <sheetFormatPr defaultRowHeight="12.75" x14ac:dyDescent="0.2"/>
  <cols>
    <col min="1" max="1" width="28" style="148" customWidth="1"/>
    <col min="2" max="2" width="15.42578125" style="148" customWidth="1"/>
    <col min="3" max="3" width="12.7109375" style="149" customWidth="1"/>
    <col min="4" max="4" width="15.140625" style="148" customWidth="1"/>
    <col min="5" max="5" width="12.85546875" style="148" customWidth="1"/>
    <col min="6" max="6" width="11.5703125" style="148" customWidth="1"/>
    <col min="7" max="7" width="13.28515625" style="148" customWidth="1"/>
    <col min="8" max="8" width="14.85546875" style="148" customWidth="1"/>
    <col min="9" max="9" width="9.140625" style="148"/>
    <col min="10" max="10" width="11.28515625" style="148" customWidth="1"/>
    <col min="11" max="14" width="13.28515625" style="148" customWidth="1"/>
    <col min="15" max="15" width="16.140625" style="148" customWidth="1"/>
    <col min="16" max="16384" width="9.140625" style="148"/>
  </cols>
  <sheetData>
    <row r="1" spans="1:16" ht="35.25" customHeight="1" x14ac:dyDescent="0.3">
      <c r="A1" s="459" t="s">
        <v>436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152"/>
    </row>
    <row r="3" spans="1:16" ht="68.25" customHeight="1" x14ac:dyDescent="0.2">
      <c r="A3" s="467" t="s">
        <v>400</v>
      </c>
      <c r="B3" s="467" t="s">
        <v>401</v>
      </c>
      <c r="C3" s="467" t="s">
        <v>404</v>
      </c>
      <c r="D3" s="467" t="s">
        <v>638</v>
      </c>
      <c r="E3" s="470" t="s">
        <v>642</v>
      </c>
      <c r="F3" s="471"/>
      <c r="G3" s="472"/>
      <c r="H3" s="467" t="s">
        <v>419</v>
      </c>
      <c r="I3" s="474" t="s">
        <v>641</v>
      </c>
      <c r="J3" s="474"/>
      <c r="K3" s="467" t="s">
        <v>420</v>
      </c>
      <c r="L3" s="467" t="s">
        <v>421</v>
      </c>
      <c r="M3" s="467" t="s">
        <v>426</v>
      </c>
      <c r="N3" s="467" t="s">
        <v>639</v>
      </c>
      <c r="O3" s="467" t="s">
        <v>640</v>
      </c>
    </row>
    <row r="4" spans="1:16" s="153" customFormat="1" ht="32.25" customHeight="1" x14ac:dyDescent="0.25">
      <c r="A4" s="468"/>
      <c r="B4" s="468"/>
      <c r="C4" s="468"/>
      <c r="D4" s="468"/>
      <c r="E4" s="467" t="s">
        <v>414</v>
      </c>
      <c r="F4" s="467" t="s">
        <v>415</v>
      </c>
      <c r="G4" s="467" t="s">
        <v>416</v>
      </c>
      <c r="H4" s="468"/>
      <c r="I4" s="473"/>
      <c r="J4" s="473"/>
      <c r="K4" s="468"/>
      <c r="L4" s="468"/>
      <c r="M4" s="468"/>
      <c r="N4" s="468"/>
      <c r="O4" s="468"/>
    </row>
    <row r="5" spans="1:16" ht="69.75" customHeight="1" x14ac:dyDescent="0.2">
      <c r="A5" s="469"/>
      <c r="B5" s="469"/>
      <c r="C5" s="469"/>
      <c r="D5" s="469"/>
      <c r="E5" s="469"/>
      <c r="F5" s="469"/>
      <c r="G5" s="469"/>
      <c r="H5" s="469"/>
      <c r="I5" s="249" t="s">
        <v>417</v>
      </c>
      <c r="J5" s="249" t="s">
        <v>418</v>
      </c>
      <c r="K5" s="469"/>
      <c r="L5" s="469"/>
      <c r="M5" s="469"/>
      <c r="N5" s="469"/>
      <c r="O5" s="469"/>
    </row>
    <row r="6" spans="1:16" s="153" customFormat="1" ht="24" x14ac:dyDescent="0.2">
      <c r="A6" s="154" t="s">
        <v>285</v>
      </c>
      <c r="B6" s="155" t="s">
        <v>287</v>
      </c>
      <c r="C6" s="156">
        <v>1</v>
      </c>
      <c r="D6" s="157">
        <f t="shared" ref="D6:D14" si="0">$C$23</f>
        <v>2547.5</v>
      </c>
      <c r="E6" s="158">
        <v>1.8</v>
      </c>
      <c r="F6" s="158">
        <v>1.58</v>
      </c>
      <c r="G6" s="158">
        <v>3.24</v>
      </c>
      <c r="H6" s="159">
        <f>ROUND(D6*E6*F6*G6,0)</f>
        <v>23474</v>
      </c>
      <c r="I6" s="344">
        <v>0.1</v>
      </c>
      <c r="J6" s="160">
        <f>H6*I6</f>
        <v>2347.4</v>
      </c>
      <c r="K6" s="159">
        <f>J6</f>
        <v>2347.4</v>
      </c>
      <c r="L6" s="159">
        <f>H6+K6</f>
        <v>25821.4</v>
      </c>
      <c r="M6" s="159">
        <f>L6/$C$28</f>
        <v>155.94202315047812</v>
      </c>
      <c r="N6" s="159">
        <f>L6*C6</f>
        <v>25821.4</v>
      </c>
      <c r="O6" s="159">
        <f>ROUND(N6*12/1000,2)</f>
        <v>309.86</v>
      </c>
      <c r="P6" s="148"/>
    </row>
    <row r="7" spans="1:16" s="153" customFormat="1" ht="24.75" customHeight="1" x14ac:dyDescent="0.2">
      <c r="A7" s="161" t="s">
        <v>425</v>
      </c>
      <c r="B7" s="162" t="s">
        <v>286</v>
      </c>
      <c r="C7" s="156">
        <v>2</v>
      </c>
      <c r="D7" s="157">
        <f>$C$23</f>
        <v>2547.5</v>
      </c>
      <c r="E7" s="158">
        <v>1.8</v>
      </c>
      <c r="F7" s="158">
        <v>1.58</v>
      </c>
      <c r="G7" s="158">
        <v>1.2</v>
      </c>
      <c r="H7" s="159">
        <f>ROUND(D7*E7*F7*G7,0)</f>
        <v>8694</v>
      </c>
      <c r="I7" s="160"/>
      <c r="J7" s="160"/>
      <c r="K7" s="159">
        <f t="shared" ref="K7:K14" si="1">J7</f>
        <v>0</v>
      </c>
      <c r="L7" s="159">
        <f t="shared" ref="L7:L14" si="2">H7+K7</f>
        <v>8694</v>
      </c>
      <c r="M7" s="159">
        <f t="shared" ref="M7:M13" si="3">L7/$C$28</f>
        <v>52.505284348263714</v>
      </c>
      <c r="N7" s="159">
        <f t="shared" ref="N7:N14" si="4">L7*C7</f>
        <v>17388</v>
      </c>
      <c r="O7" s="159">
        <f t="shared" ref="O7:O14" si="5">ROUND(N7*12/1000,2)</f>
        <v>208.66</v>
      </c>
      <c r="P7" s="148"/>
    </row>
    <row r="8" spans="1:16" s="153" customFormat="1" x14ac:dyDescent="0.2">
      <c r="A8" s="154" t="s">
        <v>403</v>
      </c>
      <c r="B8" s="162" t="s">
        <v>286</v>
      </c>
      <c r="C8" s="345">
        <v>0.5</v>
      </c>
      <c r="D8" s="157">
        <f t="shared" si="0"/>
        <v>2547.5</v>
      </c>
      <c r="E8" s="158">
        <v>1.8</v>
      </c>
      <c r="F8" s="158">
        <v>1.58</v>
      </c>
      <c r="G8" s="158">
        <v>1.7</v>
      </c>
      <c r="H8" s="159">
        <f>ROUND(D8*E8*F8*G8,0)</f>
        <v>12317</v>
      </c>
      <c r="I8" s="160"/>
      <c r="J8" s="160"/>
      <c r="K8" s="159">
        <f t="shared" si="1"/>
        <v>0</v>
      </c>
      <c r="L8" s="159">
        <f t="shared" si="2"/>
        <v>12317</v>
      </c>
      <c r="M8" s="159">
        <f t="shared" si="3"/>
        <v>74.385505787619522</v>
      </c>
      <c r="N8" s="159">
        <f t="shared" si="4"/>
        <v>6158.5</v>
      </c>
      <c r="O8" s="159">
        <f t="shared" si="5"/>
        <v>73.900000000000006</v>
      </c>
      <c r="P8" s="148"/>
    </row>
    <row r="9" spans="1:16" s="153" customFormat="1" x14ac:dyDescent="0.2">
      <c r="A9" s="154"/>
      <c r="B9" s="162"/>
      <c r="C9" s="345"/>
      <c r="D9" s="397">
        <f>$C$23</f>
        <v>2547.5</v>
      </c>
      <c r="E9" s="158">
        <v>0</v>
      </c>
      <c r="F9" s="158">
        <v>0</v>
      </c>
      <c r="G9" s="158">
        <v>0</v>
      </c>
      <c r="H9" s="159">
        <f>ROUND(D9*E9*F9*G9,0)</f>
        <v>0</v>
      </c>
      <c r="I9" s="160"/>
      <c r="J9" s="160"/>
      <c r="K9" s="159">
        <f t="shared" si="1"/>
        <v>0</v>
      </c>
      <c r="L9" s="159">
        <f>H9+K9</f>
        <v>0</v>
      </c>
      <c r="M9" s="159">
        <f t="shared" si="3"/>
        <v>0</v>
      </c>
      <c r="N9" s="159">
        <f t="shared" si="4"/>
        <v>0</v>
      </c>
      <c r="O9" s="159">
        <f t="shared" si="5"/>
        <v>0</v>
      </c>
      <c r="P9" s="148"/>
    </row>
    <row r="10" spans="1:16" s="153" customFormat="1" x14ac:dyDescent="0.2">
      <c r="A10" s="154"/>
      <c r="B10" s="227"/>
      <c r="C10" s="346"/>
      <c r="D10" s="397">
        <f t="shared" si="0"/>
        <v>2547.5</v>
      </c>
      <c r="E10" s="158"/>
      <c r="F10" s="158"/>
      <c r="G10" s="158"/>
      <c r="H10" s="159"/>
      <c r="I10" s="160"/>
      <c r="J10" s="160"/>
      <c r="K10" s="159"/>
      <c r="L10" s="159"/>
      <c r="M10" s="159"/>
      <c r="N10" s="159"/>
      <c r="O10" s="159">
        <v>1E-8</v>
      </c>
      <c r="P10" s="148"/>
    </row>
    <row r="11" spans="1:16" s="153" customFormat="1" ht="24" customHeight="1" x14ac:dyDescent="0.2">
      <c r="A11" s="154" t="s">
        <v>614</v>
      </c>
      <c r="B11" s="163" t="s">
        <v>422</v>
      </c>
      <c r="C11" s="156">
        <v>1</v>
      </c>
      <c r="D11" s="157">
        <f t="shared" si="0"/>
        <v>2547.5</v>
      </c>
      <c r="E11" s="158">
        <v>1.8</v>
      </c>
      <c r="F11" s="398">
        <v>1.58</v>
      </c>
      <c r="G11" s="158">
        <v>1.35</v>
      </c>
      <c r="H11" s="159">
        <f>ROUND(D11*E11*F11*G11,0)</f>
        <v>9781</v>
      </c>
      <c r="I11" s="164">
        <v>0.16</v>
      </c>
      <c r="J11" s="159">
        <f>H11*I11+0.04</f>
        <v>1565</v>
      </c>
      <c r="K11" s="159">
        <f>J11</f>
        <v>1565</v>
      </c>
      <c r="L11" s="159">
        <f>H11+K11</f>
        <v>11346</v>
      </c>
      <c r="M11" s="159">
        <f t="shared" si="3"/>
        <v>68.521389028686457</v>
      </c>
      <c r="N11" s="159">
        <f t="shared" si="4"/>
        <v>11346</v>
      </c>
      <c r="O11" s="159">
        <f>ROUND(N11*12/1000,2)</f>
        <v>136.15</v>
      </c>
      <c r="P11" s="148"/>
    </row>
    <row r="12" spans="1:16" s="153" customFormat="1" ht="21" customHeight="1" x14ac:dyDescent="0.2">
      <c r="A12" s="154" t="s">
        <v>615</v>
      </c>
      <c r="B12" s="163" t="s">
        <v>422</v>
      </c>
      <c r="C12" s="156">
        <v>1</v>
      </c>
      <c r="D12" s="157">
        <f t="shared" si="0"/>
        <v>2547.5</v>
      </c>
      <c r="E12" s="158">
        <v>1.8</v>
      </c>
      <c r="F12" s="158">
        <v>1.58</v>
      </c>
      <c r="G12" s="158">
        <v>1.2</v>
      </c>
      <c r="H12" s="159">
        <f>ROUND(D12*E12*F12*G12,0)</f>
        <v>8694</v>
      </c>
      <c r="I12" s="344">
        <v>0.12</v>
      </c>
      <c r="J12" s="159">
        <f>H12*I12+0.02</f>
        <v>1043.3</v>
      </c>
      <c r="K12" s="159">
        <f t="shared" si="1"/>
        <v>1043.3</v>
      </c>
      <c r="L12" s="159">
        <f>H12+K12</f>
        <v>9737.2999999999993</v>
      </c>
      <c r="M12" s="159">
        <f t="shared" si="3"/>
        <v>58.806039255158524</v>
      </c>
      <c r="N12" s="159">
        <f t="shared" si="4"/>
        <v>9737.2999999999993</v>
      </c>
      <c r="O12" s="159">
        <f t="shared" si="5"/>
        <v>116.85</v>
      </c>
      <c r="P12" s="148"/>
    </row>
    <row r="13" spans="1:16" s="153" customFormat="1" x14ac:dyDescent="0.2">
      <c r="A13" s="154" t="s">
        <v>616</v>
      </c>
      <c r="B13" s="163" t="s">
        <v>422</v>
      </c>
      <c r="C13" s="156"/>
      <c r="D13" s="157">
        <f t="shared" si="0"/>
        <v>2547.5</v>
      </c>
      <c r="E13" s="158">
        <v>1.8</v>
      </c>
      <c r="F13" s="158">
        <v>1.58</v>
      </c>
      <c r="G13" s="158">
        <v>1.08</v>
      </c>
      <c r="H13" s="159">
        <f>ROUND(D13*E13*F13*G13,0)</f>
        <v>7825</v>
      </c>
      <c r="I13" s="160"/>
      <c r="J13" s="160"/>
      <c r="K13" s="159">
        <f t="shared" si="1"/>
        <v>0</v>
      </c>
      <c r="L13" s="159">
        <f t="shared" si="2"/>
        <v>7825</v>
      </c>
      <c r="M13" s="159">
        <f t="shared" si="3"/>
        <v>47.257171615500752</v>
      </c>
      <c r="N13" s="159">
        <f t="shared" si="4"/>
        <v>0</v>
      </c>
      <c r="O13" s="159">
        <f t="shared" si="5"/>
        <v>0</v>
      </c>
      <c r="P13" s="148"/>
    </row>
    <row r="14" spans="1:16" s="165" customFormat="1" x14ac:dyDescent="0.2">
      <c r="A14" s="154" t="s">
        <v>617</v>
      </c>
      <c r="B14" s="163" t="s">
        <v>422</v>
      </c>
      <c r="C14" s="346">
        <v>0.25</v>
      </c>
      <c r="D14" s="157">
        <f t="shared" si="0"/>
        <v>2547.5</v>
      </c>
      <c r="E14" s="158">
        <v>1.8</v>
      </c>
      <c r="F14" s="158">
        <v>1.58</v>
      </c>
      <c r="G14" s="158">
        <v>1.47</v>
      </c>
      <c r="H14" s="159">
        <f>ROUND(D14*E14*F14*G14,0)</f>
        <v>10650</v>
      </c>
      <c r="I14" s="344">
        <v>0.02</v>
      </c>
      <c r="J14" s="160">
        <f>H14*I14</f>
        <v>213</v>
      </c>
      <c r="K14" s="159">
        <f t="shared" si="1"/>
        <v>213</v>
      </c>
      <c r="L14" s="159">
        <f t="shared" si="2"/>
        <v>10863</v>
      </c>
      <c r="M14" s="159">
        <f>L14/$C$28</f>
        <v>65.604428787116248</v>
      </c>
      <c r="N14" s="159">
        <f t="shared" si="4"/>
        <v>2715.75</v>
      </c>
      <c r="O14" s="159">
        <f t="shared" si="5"/>
        <v>32.590000000000003</v>
      </c>
      <c r="P14" s="148"/>
    </row>
    <row r="15" spans="1:16" s="165" customFormat="1" ht="30" customHeight="1" thickBot="1" x14ac:dyDescent="0.25">
      <c r="A15" s="166" t="s">
        <v>402</v>
      </c>
      <c r="B15" s="167"/>
      <c r="C15" s="386">
        <f>SUM(C6:C14)</f>
        <v>5.75</v>
      </c>
      <c r="D15" s="168"/>
      <c r="E15" s="169"/>
      <c r="F15" s="169"/>
      <c r="G15" s="169"/>
      <c r="H15" s="168"/>
      <c r="I15" s="168"/>
      <c r="J15" s="168"/>
      <c r="K15" s="170"/>
      <c r="L15" s="170"/>
      <c r="M15" s="171"/>
      <c r="N15" s="172">
        <f>SUM(N6:N14)</f>
        <v>73166.95</v>
      </c>
      <c r="O15" s="172">
        <f>SUM(O6:O14)</f>
        <v>878.01000001</v>
      </c>
    </row>
    <row r="16" spans="1:16" s="173" customFormat="1" ht="27.75" customHeight="1" x14ac:dyDescent="0.2">
      <c r="A16" s="148"/>
      <c r="B16" s="229" t="s">
        <v>422</v>
      </c>
      <c r="C16" s="231">
        <f>SUMIF($B$6:$B$14,$B16,$C$6:$C$14)</f>
        <v>2.25</v>
      </c>
      <c r="D16" s="229"/>
      <c r="E16" s="230"/>
      <c r="F16" s="230"/>
      <c r="G16" s="230"/>
      <c r="H16" s="230"/>
      <c r="I16" s="230"/>
      <c r="J16" s="230"/>
      <c r="K16" s="230"/>
      <c r="L16" s="475"/>
      <c r="M16" s="475"/>
      <c r="N16" s="475"/>
      <c r="O16" s="422">
        <f>SUMIF($B$6:$B$14,$B16,$O$6:$O$14)</f>
        <v>285.59000000000003</v>
      </c>
    </row>
    <row r="17" spans="1:15" s="173" customFormat="1" ht="27.75" customHeight="1" x14ac:dyDescent="0.2">
      <c r="A17" s="148"/>
      <c r="B17" s="390" t="s">
        <v>284</v>
      </c>
      <c r="C17" s="231">
        <f>SUMIF($B$6:$B$14,$B17,$C$6:$C$14)</f>
        <v>0</v>
      </c>
      <c r="D17" s="227"/>
      <c r="E17" s="228"/>
      <c r="F17" s="228"/>
      <c r="G17" s="228"/>
      <c r="H17" s="228"/>
      <c r="I17" s="228"/>
      <c r="J17" s="228"/>
      <c r="K17" s="228"/>
      <c r="L17" s="476"/>
      <c r="M17" s="476"/>
      <c r="N17" s="476"/>
      <c r="O17" s="422">
        <f>SUMIF($B$6:$B$14,$B17,$O$6:$O$14)</f>
        <v>0</v>
      </c>
    </row>
    <row r="18" spans="1:15" s="173" customFormat="1" ht="27.75" customHeight="1" x14ac:dyDescent="0.2">
      <c r="A18" s="148"/>
      <c r="B18" s="227" t="s">
        <v>287</v>
      </c>
      <c r="C18" s="231">
        <f>SUMIF($B$6:$B$14,$B18,$C$6:$C$14)</f>
        <v>1</v>
      </c>
      <c r="D18" s="227"/>
      <c r="E18" s="228"/>
      <c r="F18" s="228"/>
      <c r="G18" s="228"/>
      <c r="H18" s="228"/>
      <c r="I18" s="228"/>
      <c r="J18" s="228"/>
      <c r="K18" s="228"/>
      <c r="L18" s="476"/>
      <c r="M18" s="476"/>
      <c r="N18" s="476"/>
      <c r="O18" s="422">
        <f>SUMIF($B$6:$B$14,$B18,$O$6:$O$14)</f>
        <v>309.86</v>
      </c>
    </row>
    <row r="19" spans="1:15" s="173" customFormat="1" ht="27.75" customHeight="1" x14ac:dyDescent="0.2">
      <c r="A19" s="148"/>
      <c r="B19" s="227" t="s">
        <v>286</v>
      </c>
      <c r="C19" s="231">
        <f>SUMIF($B$6:$B$14,$B19,$C$6:$C$14)</f>
        <v>2.5</v>
      </c>
      <c r="D19" s="227"/>
      <c r="E19" s="228"/>
      <c r="F19" s="228"/>
      <c r="G19" s="228"/>
      <c r="H19" s="228"/>
      <c r="I19" s="228"/>
      <c r="J19" s="228"/>
      <c r="K19" s="228"/>
      <c r="L19" s="476"/>
      <c r="M19" s="476"/>
      <c r="N19" s="476"/>
      <c r="O19" s="422">
        <f>SUMIF($B$6:$B$14,$B19,$O$6:$O$14)</f>
        <v>282.56</v>
      </c>
    </row>
    <row r="20" spans="1:15" ht="15" x14ac:dyDescent="0.25">
      <c r="B20" s="174"/>
      <c r="F20" s="25"/>
      <c r="G20" s="25"/>
      <c r="H20" s="25"/>
      <c r="I20" s="25"/>
      <c r="J20" s="175"/>
      <c r="O20" s="415" t="s">
        <v>626</v>
      </c>
    </row>
    <row r="21" spans="1:15" x14ac:dyDescent="0.2">
      <c r="A21" s="176" t="s">
        <v>405</v>
      </c>
      <c r="B21" s="176"/>
      <c r="C21" s="176"/>
      <c r="D21" s="177"/>
      <c r="O21" s="178"/>
    </row>
    <row r="22" spans="1:15" ht="38.25" x14ac:dyDescent="0.2">
      <c r="A22" s="179" t="s">
        <v>31</v>
      </c>
      <c r="B22" s="179" t="s">
        <v>406</v>
      </c>
      <c r="C22" s="179" t="s">
        <v>413</v>
      </c>
      <c r="D22" s="180" t="s">
        <v>407</v>
      </c>
    </row>
    <row r="23" spans="1:15" ht="76.5" x14ac:dyDescent="0.2">
      <c r="A23" s="176" t="s">
        <v>408</v>
      </c>
      <c r="B23" s="176" t="s">
        <v>409</v>
      </c>
      <c r="C23" s="181">
        <f>(C24*6+C25*5+C26)/12</f>
        <v>2547.5</v>
      </c>
      <c r="D23" s="177"/>
    </row>
    <row r="24" spans="1:15" ht="12.75" customHeight="1" x14ac:dyDescent="0.2">
      <c r="A24" s="176" t="s">
        <v>634</v>
      </c>
      <c r="B24" s="176" t="s">
        <v>409</v>
      </c>
      <c r="C24" s="182">
        <v>2481</v>
      </c>
      <c r="D24" s="464" t="s">
        <v>637</v>
      </c>
    </row>
    <row r="25" spans="1:15" ht="23.25" customHeight="1" x14ac:dyDescent="0.2">
      <c r="A25" s="176" t="s">
        <v>635</v>
      </c>
      <c r="B25" s="176" t="s">
        <v>409</v>
      </c>
      <c r="C25" s="182">
        <v>2600</v>
      </c>
      <c r="D25" s="465"/>
    </row>
    <row r="26" spans="1:15" ht="23.25" customHeight="1" x14ac:dyDescent="0.2">
      <c r="A26" s="176" t="s">
        <v>636</v>
      </c>
      <c r="B26" s="176" t="s">
        <v>409</v>
      </c>
      <c r="C26" s="182">
        <v>2684</v>
      </c>
      <c r="D26" s="466"/>
    </row>
    <row r="27" spans="1:15" ht="23.25" customHeight="1" x14ac:dyDescent="0.2">
      <c r="A27" s="176" t="s">
        <v>410</v>
      </c>
      <c r="B27" s="176" t="s">
        <v>411</v>
      </c>
      <c r="C27" s="182">
        <v>1987</v>
      </c>
      <c r="D27" s="177"/>
    </row>
    <row r="28" spans="1:15" ht="45.75" customHeight="1" x14ac:dyDescent="0.2">
      <c r="A28" s="176" t="s">
        <v>410</v>
      </c>
      <c r="B28" s="176" t="s">
        <v>412</v>
      </c>
      <c r="C28" s="182">
        <f>C27/12</f>
        <v>165.58333333333334</v>
      </c>
      <c r="D28" s="177"/>
    </row>
    <row r="29" spans="1:15" x14ac:dyDescent="0.2">
      <c r="C29" s="183"/>
    </row>
  </sheetData>
  <mergeCells count="22">
    <mergeCell ref="L16:N16"/>
    <mergeCell ref="L17:N17"/>
    <mergeCell ref="L18:N18"/>
    <mergeCell ref="L19:N19"/>
    <mergeCell ref="A1:N1"/>
    <mergeCell ref="O3:O5"/>
    <mergeCell ref="E4:E5"/>
    <mergeCell ref="F4:F5"/>
    <mergeCell ref="G4:G5"/>
    <mergeCell ref="I4:J4"/>
    <mergeCell ref="H3:H5"/>
    <mergeCell ref="I3:J3"/>
    <mergeCell ref="K3:K5"/>
    <mergeCell ref="L3:L5"/>
    <mergeCell ref="N3:N5"/>
    <mergeCell ref="M3:M5"/>
    <mergeCell ref="D24:D26"/>
    <mergeCell ref="D3:D5"/>
    <mergeCell ref="C3:C5"/>
    <mergeCell ref="E3:G3"/>
    <mergeCell ref="A3:A5"/>
    <mergeCell ref="B3:B5"/>
  </mergeCells>
  <pageMargins left="0" right="0" top="0" bottom="0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F10" sqref="F10"/>
    </sheetView>
  </sheetViews>
  <sheetFormatPr defaultRowHeight="15.75" x14ac:dyDescent="0.25"/>
  <cols>
    <col min="1" max="1" width="22.7109375" style="127" customWidth="1"/>
    <col min="2" max="2" width="10.7109375" style="67" bestFit="1" customWidth="1"/>
    <col min="3" max="4" width="13.28515625" style="127" customWidth="1"/>
    <col min="5" max="5" width="15" style="127" customWidth="1"/>
    <col min="6" max="6" width="14.85546875" style="127" customWidth="1"/>
    <col min="7" max="7" width="15.140625" style="127" customWidth="1"/>
    <col min="8" max="8" width="14.7109375" style="127" customWidth="1"/>
    <col min="9" max="9" width="15.7109375" style="127" customWidth="1"/>
    <col min="10" max="10" width="15.42578125" style="127" customWidth="1"/>
    <col min="11" max="11" width="14.85546875" style="127" customWidth="1"/>
    <col min="12" max="16384" width="9.140625" style="127"/>
  </cols>
  <sheetData>
    <row r="1" spans="1:11" ht="18.75" x14ac:dyDescent="0.25">
      <c r="A1" s="449" t="s">
        <v>71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</row>
    <row r="2" spans="1:11" ht="18.75" x14ac:dyDescent="0.25">
      <c r="A2" s="449" t="s">
        <v>163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</row>
    <row r="3" spans="1:11" ht="18.75" x14ac:dyDescent="0.25">
      <c r="A3" s="450" t="s">
        <v>429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</row>
    <row r="5" spans="1:11" ht="96.75" customHeight="1" x14ac:dyDescent="0.25">
      <c r="A5" s="480" t="s">
        <v>147</v>
      </c>
      <c r="B5" s="482" t="s">
        <v>32</v>
      </c>
      <c r="C5" s="250" t="s">
        <v>148</v>
      </c>
      <c r="D5" s="250" t="s">
        <v>160</v>
      </c>
      <c r="E5" s="250" t="s">
        <v>149</v>
      </c>
      <c r="F5" s="250" t="s">
        <v>435</v>
      </c>
      <c r="G5" s="250" t="s">
        <v>150</v>
      </c>
      <c r="H5" s="250" t="s">
        <v>151</v>
      </c>
      <c r="I5" s="250" t="s">
        <v>152</v>
      </c>
      <c r="J5" s="250" t="s">
        <v>153</v>
      </c>
      <c r="K5" s="250" t="s">
        <v>162</v>
      </c>
    </row>
    <row r="6" spans="1:11" ht="31.5" x14ac:dyDescent="0.25">
      <c r="A6" s="481"/>
      <c r="B6" s="483"/>
      <c r="C6" s="251" t="s">
        <v>154</v>
      </c>
      <c r="D6" s="251" t="s">
        <v>161</v>
      </c>
      <c r="E6" s="251" t="s">
        <v>155</v>
      </c>
      <c r="F6" s="251" t="s">
        <v>156</v>
      </c>
      <c r="G6" s="251" t="s">
        <v>157</v>
      </c>
      <c r="H6" s="251" t="s">
        <v>158</v>
      </c>
      <c r="I6" s="251" t="s">
        <v>156</v>
      </c>
      <c r="J6" s="251" t="s">
        <v>157</v>
      </c>
      <c r="K6" s="251" t="s">
        <v>157</v>
      </c>
    </row>
    <row r="7" spans="1:11" x14ac:dyDescent="0.25">
      <c r="A7" s="43" t="s">
        <v>33</v>
      </c>
      <c r="B7" s="42" t="s">
        <v>34</v>
      </c>
      <c r="C7" s="43">
        <v>1</v>
      </c>
      <c r="D7" s="43">
        <v>2</v>
      </c>
      <c r="E7" s="43">
        <v>3</v>
      </c>
      <c r="F7" s="43">
        <v>4</v>
      </c>
      <c r="G7" s="43">
        <v>5</v>
      </c>
      <c r="H7" s="43">
        <v>6</v>
      </c>
      <c r="I7" s="43">
        <v>7</v>
      </c>
      <c r="J7" s="43">
        <v>8</v>
      </c>
      <c r="K7" s="43">
        <v>9</v>
      </c>
    </row>
    <row r="8" spans="1:11" ht="15.75" customHeight="1" x14ac:dyDescent="0.25">
      <c r="A8" s="477" t="s">
        <v>159</v>
      </c>
      <c r="B8" s="478"/>
      <c r="C8" s="478"/>
      <c r="D8" s="478"/>
      <c r="E8" s="478"/>
      <c r="F8" s="478"/>
      <c r="G8" s="478"/>
      <c r="H8" s="478"/>
      <c r="I8" s="478"/>
      <c r="J8" s="478"/>
      <c r="K8" s="479"/>
    </row>
    <row r="9" spans="1:11" s="36" customFormat="1" ht="24.75" customHeight="1" x14ac:dyDescent="0.25">
      <c r="A9" s="43" t="s">
        <v>648</v>
      </c>
      <c r="B9" s="42" t="s">
        <v>116</v>
      </c>
      <c r="C9" s="50">
        <f>'річний план'!D19</f>
        <v>99.691000000000003</v>
      </c>
      <c r="D9" s="145">
        <f>E9/C9</f>
        <v>5.4789298933705148E-2</v>
      </c>
      <c r="E9" s="50">
        <f>эл.оборуд.!D9/1000</f>
        <v>5.4619999999999997</v>
      </c>
      <c r="F9" s="146">
        <f>G9/E9*100</f>
        <v>255.49743683632374</v>
      </c>
      <c r="G9" s="50">
        <f>эл.оборуд.!D11/1000</f>
        <v>13.955270000000001</v>
      </c>
      <c r="H9" s="50"/>
      <c r="I9" s="43"/>
      <c r="J9" s="50">
        <f>ROUND(H9*I9/100,2)</f>
        <v>0</v>
      </c>
      <c r="K9" s="50">
        <f>G9+J9</f>
        <v>13.955270000000001</v>
      </c>
    </row>
    <row r="10" spans="1:11" s="150" customFormat="1" ht="24.75" customHeight="1" x14ac:dyDescent="0.25">
      <c r="A10" s="43" t="s">
        <v>649</v>
      </c>
      <c r="B10" s="42" t="s">
        <v>117</v>
      </c>
      <c r="C10" s="50">
        <f>'річний план'!F19</f>
        <v>119</v>
      </c>
      <c r="D10" s="145">
        <f>E10/C10</f>
        <v>0.11502100840336134</v>
      </c>
      <c r="E10" s="50">
        <f>эл.оборуд.!E9/1000</f>
        <v>13.6875</v>
      </c>
      <c r="F10" s="146">
        <f>эл.оборуд.!E10</f>
        <v>301</v>
      </c>
      <c r="G10" s="50">
        <f>ROUND(E10*F10/100,2)</f>
        <v>41.2</v>
      </c>
      <c r="H10" s="50"/>
      <c r="I10" s="43"/>
      <c r="J10" s="50">
        <f t="shared" ref="J10" si="0">ROUND(H10*I10/100,2)</f>
        <v>0</v>
      </c>
      <c r="K10" s="50">
        <f>G10+J10</f>
        <v>41.2</v>
      </c>
    </row>
    <row r="11" spans="1:11" x14ac:dyDescent="0.25">
      <c r="K11" s="127" t="s">
        <v>626</v>
      </c>
    </row>
    <row r="12" spans="1:11" ht="117" customHeight="1" x14ac:dyDescent="0.25">
      <c r="A12" s="484" t="s">
        <v>663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</row>
    <row r="14" spans="1:11" ht="14.25" customHeight="1" x14ac:dyDescent="0.25">
      <c r="A14" s="67"/>
      <c r="B14" s="438" t="s">
        <v>15</v>
      </c>
      <c r="C14" s="67"/>
      <c r="D14" s="437" t="s">
        <v>57</v>
      </c>
      <c r="E14" s="437"/>
      <c r="F14" s="437"/>
      <c r="G14" s="437"/>
      <c r="H14" s="437" t="s">
        <v>57</v>
      </c>
      <c r="I14" s="437"/>
      <c r="J14" s="437"/>
    </row>
    <row r="15" spans="1:11" ht="14.25" customHeight="1" x14ac:dyDescent="0.25">
      <c r="A15" s="67"/>
      <c r="B15" s="438"/>
      <c r="C15" s="67"/>
      <c r="D15" s="437" t="s">
        <v>17</v>
      </c>
      <c r="E15" s="437"/>
      <c r="F15" s="437"/>
      <c r="G15" s="437"/>
      <c r="H15" s="437" t="s">
        <v>18</v>
      </c>
      <c r="I15" s="437"/>
      <c r="J15" s="437"/>
    </row>
    <row r="16" spans="1:11" ht="14.25" customHeight="1" x14ac:dyDescent="0.25">
      <c r="A16" s="70"/>
      <c r="B16" s="128"/>
      <c r="C16" s="100"/>
      <c r="D16" s="32" t="s">
        <v>19</v>
      </c>
    </row>
    <row r="17" spans="1:5" ht="14.25" customHeight="1" x14ac:dyDescent="0.25">
      <c r="A17" s="67"/>
      <c r="B17" s="426" t="s">
        <v>647</v>
      </c>
      <c r="C17" s="426"/>
      <c r="D17" s="426"/>
    </row>
    <row r="20" spans="1:5" x14ac:dyDescent="0.25">
      <c r="E20" s="151"/>
    </row>
    <row r="24" spans="1:5" x14ac:dyDescent="0.25">
      <c r="A24" s="147"/>
    </row>
    <row r="25" spans="1:5" x14ac:dyDescent="0.25">
      <c r="A25" s="24"/>
    </row>
    <row r="26" spans="1:5" x14ac:dyDescent="0.25">
      <c r="A26" s="24"/>
    </row>
    <row r="27" spans="1:5" x14ac:dyDescent="0.25">
      <c r="A27" s="24"/>
    </row>
  </sheetData>
  <mergeCells count="13">
    <mergeCell ref="B17:D17"/>
    <mergeCell ref="A3:K3"/>
    <mergeCell ref="A1:K1"/>
    <mergeCell ref="A2:K2"/>
    <mergeCell ref="B14:B15"/>
    <mergeCell ref="D14:G14"/>
    <mergeCell ref="H14:J14"/>
    <mergeCell ref="D15:G15"/>
    <mergeCell ref="H15:J15"/>
    <mergeCell ref="A8:K8"/>
    <mergeCell ref="A5:A6"/>
    <mergeCell ref="B5:B6"/>
    <mergeCell ref="A12:K12"/>
  </mergeCells>
  <pageMargins left="0.39370078740157483" right="0.39370078740157483" top="0.98425196850393704" bottom="0.39370078740157483" header="0" footer="0"/>
  <pageSetup paperSize="9" scale="8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11" sqref="E11"/>
    </sheetView>
  </sheetViews>
  <sheetFormatPr defaultRowHeight="15.75" x14ac:dyDescent="0.25"/>
  <cols>
    <col min="1" max="1" width="4.7109375" style="127" customWidth="1"/>
    <col min="2" max="2" width="47.5703125" style="127" bestFit="1" customWidth="1"/>
    <col min="3" max="3" width="15" style="36" bestFit="1" customWidth="1"/>
    <col min="4" max="4" width="19.7109375" style="127" customWidth="1"/>
    <col min="5" max="5" width="19" style="127" customWidth="1"/>
    <col min="6" max="6" width="43.42578125" style="127" customWidth="1"/>
    <col min="7" max="7" width="9.5703125" style="127" bestFit="1" customWidth="1"/>
    <col min="8" max="16384" width="9.140625" style="127"/>
  </cols>
  <sheetData>
    <row r="1" spans="1:9" ht="18.75" x14ac:dyDescent="0.3">
      <c r="A1" s="485" t="s">
        <v>350</v>
      </c>
      <c r="B1" s="485"/>
      <c r="C1" s="485"/>
      <c r="D1" s="485"/>
      <c r="E1" s="485"/>
      <c r="F1" s="485"/>
    </row>
    <row r="2" spans="1:9" ht="18.75" x14ac:dyDescent="0.3">
      <c r="A2" s="486" t="s">
        <v>351</v>
      </c>
      <c r="B2" s="486"/>
      <c r="C2" s="486"/>
      <c r="D2" s="486"/>
      <c r="E2" s="486"/>
      <c r="F2" s="486"/>
    </row>
    <row r="3" spans="1:9" x14ac:dyDescent="0.25">
      <c r="B3" s="67"/>
      <c r="C3" s="184"/>
      <c r="D3" s="185"/>
    </row>
    <row r="4" spans="1:9" s="187" customFormat="1" ht="30" customHeight="1" x14ac:dyDescent="0.25">
      <c r="A4" s="488" t="s">
        <v>292</v>
      </c>
      <c r="B4" s="489" t="s">
        <v>293</v>
      </c>
      <c r="C4" s="451" t="s">
        <v>297</v>
      </c>
      <c r="D4" s="487" t="s">
        <v>294</v>
      </c>
      <c r="E4" s="487"/>
      <c r="F4" s="247" t="s">
        <v>651</v>
      </c>
    </row>
    <row r="5" spans="1:9" s="187" customFormat="1" x14ac:dyDescent="0.25">
      <c r="A5" s="488"/>
      <c r="B5" s="489"/>
      <c r="C5" s="490"/>
      <c r="D5" s="248" t="s">
        <v>650</v>
      </c>
      <c r="E5" s="248" t="s">
        <v>652</v>
      </c>
      <c r="F5" s="247"/>
    </row>
    <row r="6" spans="1:9" s="187" customFormat="1" ht="31.5" x14ac:dyDescent="0.25">
      <c r="A6" s="186">
        <v>1</v>
      </c>
      <c r="B6" s="188" t="s">
        <v>296</v>
      </c>
      <c r="C6" s="189" t="s">
        <v>300</v>
      </c>
      <c r="D6" s="190">
        <v>900</v>
      </c>
      <c r="E6" s="190">
        <v>900</v>
      </c>
      <c r="F6" s="186"/>
    </row>
    <row r="7" spans="1:9" s="187" customFormat="1" ht="25.5" customHeight="1" x14ac:dyDescent="0.25">
      <c r="A7" s="186">
        <v>2</v>
      </c>
      <c r="B7" s="188" t="s">
        <v>344</v>
      </c>
      <c r="C7" s="191" t="s">
        <v>298</v>
      </c>
      <c r="D7" s="192">
        <v>3</v>
      </c>
      <c r="E7" s="192">
        <v>3</v>
      </c>
      <c r="F7" s="186"/>
    </row>
    <row r="8" spans="1:9" s="187" customFormat="1" ht="24" customHeight="1" x14ac:dyDescent="0.25">
      <c r="A8" s="186">
        <v>3</v>
      </c>
      <c r="B8" s="188" t="s">
        <v>346</v>
      </c>
      <c r="C8" s="191" t="s">
        <v>299</v>
      </c>
      <c r="D8" s="190">
        <v>15</v>
      </c>
      <c r="E8" s="190">
        <v>15</v>
      </c>
      <c r="F8" s="186"/>
    </row>
    <row r="9" spans="1:9" s="187" customFormat="1" ht="31.5" x14ac:dyDescent="0.25">
      <c r="A9" s="186">
        <v>4</v>
      </c>
      <c r="B9" s="188" t="s">
        <v>302</v>
      </c>
      <c r="C9" s="191" t="s">
        <v>301</v>
      </c>
      <c r="D9" s="193">
        <v>5462</v>
      </c>
      <c r="E9" s="414">
        <f>E8*(365*2.5)</f>
        <v>13687.5</v>
      </c>
      <c r="F9" s="194" t="s">
        <v>662</v>
      </c>
      <c r="G9" s="195"/>
    </row>
    <row r="10" spans="1:9" s="187" customFormat="1" x14ac:dyDescent="0.25">
      <c r="A10" s="186">
        <v>5</v>
      </c>
      <c r="B10" s="188" t="s">
        <v>424</v>
      </c>
      <c r="C10" s="191" t="s">
        <v>661</v>
      </c>
      <c r="D10" s="196">
        <f>D11/D9*100</f>
        <v>255.49743683632369</v>
      </c>
      <c r="E10" s="196">
        <v>301</v>
      </c>
      <c r="F10" s="194"/>
    </row>
    <row r="11" spans="1:9" s="187" customFormat="1" x14ac:dyDescent="0.25">
      <c r="A11" s="186">
        <v>6</v>
      </c>
      <c r="B11" s="188" t="s">
        <v>423</v>
      </c>
      <c r="C11" s="191" t="s">
        <v>409</v>
      </c>
      <c r="D11" s="193">
        <v>13955.27</v>
      </c>
      <c r="E11" s="193">
        <f>E9*E10/100</f>
        <v>41199.375</v>
      </c>
      <c r="F11" s="186"/>
      <c r="G11" s="285">
        <f>E11/D11-1</f>
        <v>1.9522449225274752</v>
      </c>
    </row>
    <row r="12" spans="1:9" x14ac:dyDescent="0.25">
      <c r="B12" s="67"/>
      <c r="C12" s="197"/>
      <c r="D12" s="198" t="s">
        <v>626</v>
      </c>
      <c r="E12" s="413" t="s">
        <v>626</v>
      </c>
    </row>
    <row r="13" spans="1:9" x14ac:dyDescent="0.25">
      <c r="B13" s="200" t="s">
        <v>290</v>
      </c>
      <c r="C13" s="197"/>
      <c r="D13" s="201"/>
      <c r="E13" s="199"/>
      <c r="I13" s="202"/>
    </row>
    <row r="14" spans="1:9" x14ac:dyDescent="0.25">
      <c r="B14" s="200"/>
      <c r="C14" s="197"/>
      <c r="D14" s="198"/>
      <c r="E14" s="199"/>
      <c r="I14" s="202"/>
    </row>
    <row r="15" spans="1:9" x14ac:dyDescent="0.25">
      <c r="B15" s="200"/>
      <c r="C15" s="197"/>
      <c r="D15" s="198"/>
      <c r="E15" s="199"/>
      <c r="I15" s="202"/>
    </row>
  </sheetData>
  <mergeCells count="6">
    <mergeCell ref="A1:F1"/>
    <mergeCell ref="A2:F2"/>
    <mergeCell ref="D4:E4"/>
    <mergeCell ref="A4:A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="84" zoomScaleNormal="84" workbookViewId="0">
      <pane ySplit="8" topLeftCell="A45" activePane="bottomLeft" state="frozenSplit"/>
      <selection pane="bottomLeft" activeCell="I36" sqref="I36"/>
    </sheetView>
  </sheetViews>
  <sheetFormatPr defaultRowHeight="15.75" x14ac:dyDescent="0.25"/>
  <cols>
    <col min="1" max="1" width="6.5703125" style="127" customWidth="1"/>
    <col min="2" max="2" width="44.7109375" style="127" customWidth="1"/>
    <col min="3" max="3" width="8.85546875" style="127" bestFit="1" customWidth="1"/>
    <col min="4" max="4" width="10.7109375" style="127" customWidth="1"/>
    <col min="5" max="5" width="10.42578125" style="127" customWidth="1"/>
    <col min="6" max="7" width="9.140625" style="127"/>
    <col min="8" max="8" width="14.5703125" style="127" customWidth="1"/>
    <col min="9" max="9" width="9.140625" style="126"/>
    <col min="10" max="12" width="9.140625" style="127"/>
    <col min="13" max="13" width="16.7109375" style="127" customWidth="1"/>
    <col min="14" max="14" width="11.85546875" style="127" bestFit="1" customWidth="1"/>
    <col min="15" max="16384" width="9.140625" style="127"/>
  </cols>
  <sheetData>
    <row r="1" spans="1:12" ht="18.75" x14ac:dyDescent="0.25">
      <c r="A1" s="449" t="s">
        <v>262</v>
      </c>
      <c r="B1" s="449"/>
      <c r="C1" s="449"/>
      <c r="D1" s="449"/>
      <c r="E1" s="449"/>
      <c r="F1" s="449"/>
      <c r="G1" s="449"/>
      <c r="H1" s="449"/>
      <c r="I1" s="449"/>
      <c r="J1" s="449"/>
    </row>
    <row r="2" spans="1:12" ht="48.75" customHeight="1" x14ac:dyDescent="0.25">
      <c r="A2" s="495" t="s">
        <v>429</v>
      </c>
      <c r="B2" s="495"/>
      <c r="C2" s="495"/>
      <c r="D2" s="495"/>
      <c r="E2" s="495"/>
      <c r="F2" s="495"/>
      <c r="G2" s="495"/>
      <c r="H2" s="495"/>
      <c r="I2" s="495"/>
      <c r="J2" s="495"/>
    </row>
    <row r="4" spans="1:12" ht="32.25" customHeight="1" x14ac:dyDescent="0.25">
      <c r="A4" s="498" t="s">
        <v>447</v>
      </c>
      <c r="B4" s="488" t="s">
        <v>448</v>
      </c>
      <c r="C4" s="499" t="s">
        <v>32</v>
      </c>
      <c r="D4" s="488" t="s">
        <v>643</v>
      </c>
      <c r="E4" s="488"/>
      <c r="F4" s="488"/>
      <c r="G4" s="488" t="s">
        <v>644</v>
      </c>
      <c r="H4" s="488"/>
      <c r="I4" s="488"/>
      <c r="J4" s="488"/>
    </row>
    <row r="5" spans="1:12" ht="15" customHeight="1" x14ac:dyDescent="0.25">
      <c r="A5" s="498"/>
      <c r="B5" s="488"/>
      <c r="C5" s="499"/>
      <c r="D5" s="488" t="s">
        <v>165</v>
      </c>
      <c r="E5" s="488" t="s">
        <v>449</v>
      </c>
      <c r="F5" s="488"/>
      <c r="G5" s="496" t="s">
        <v>165</v>
      </c>
      <c r="H5" s="488" t="s">
        <v>449</v>
      </c>
      <c r="I5" s="488"/>
      <c r="J5" s="488"/>
    </row>
    <row r="6" spans="1:12" ht="63" x14ac:dyDescent="0.25">
      <c r="A6" s="498"/>
      <c r="B6" s="488"/>
      <c r="C6" s="499"/>
      <c r="D6" s="488"/>
      <c r="E6" s="246" t="s">
        <v>450</v>
      </c>
      <c r="F6" s="298" t="s">
        <v>559</v>
      </c>
      <c r="G6" s="497"/>
      <c r="H6" s="246" t="s">
        <v>444</v>
      </c>
      <c r="I6" s="339" t="s">
        <v>450</v>
      </c>
      <c r="J6" s="298" t="s">
        <v>559</v>
      </c>
    </row>
    <row r="7" spans="1:12" x14ac:dyDescent="0.25">
      <c r="A7" s="252" t="s">
        <v>33</v>
      </c>
      <c r="B7" s="253" t="s">
        <v>34</v>
      </c>
      <c r="C7" s="254" t="s">
        <v>35</v>
      </c>
      <c r="D7" s="253">
        <v>1</v>
      </c>
      <c r="E7" s="253">
        <v>2</v>
      </c>
      <c r="F7" s="253">
        <v>3</v>
      </c>
      <c r="G7" s="253">
        <v>4</v>
      </c>
      <c r="H7" s="253">
        <v>5</v>
      </c>
      <c r="I7" s="340">
        <v>6</v>
      </c>
      <c r="J7" s="253">
        <v>7</v>
      </c>
    </row>
    <row r="8" spans="1:12" s="136" customFormat="1" ht="47.25" x14ac:dyDescent="0.25">
      <c r="A8" s="255"/>
      <c r="B8" s="256" t="s">
        <v>169</v>
      </c>
      <c r="C8" s="257" t="s">
        <v>116</v>
      </c>
      <c r="D8" s="258">
        <f>D9+D13+D14+D15+D16+D17+D18+D19+D26+D32+D37+D38+D42+D48+D53</f>
        <v>26.77</v>
      </c>
      <c r="E8" s="258">
        <f>E9+E13+E14+E15+E16+E17+E18+E19+E26+E32+E37+E38+E42+E48+E53</f>
        <v>26.77</v>
      </c>
      <c r="F8" s="258">
        <f>F9+F13+F14+F15+F16+F17+F18+F19+F26+F32+F37+F38+F42+F48+F53</f>
        <v>0</v>
      </c>
      <c r="G8" s="258">
        <f>G9+G13+G14+G15+G16+G17+G18+G19+G26+G32+G37+G38+G42+G48+G53</f>
        <v>77.810875010000004</v>
      </c>
      <c r="H8" s="258"/>
      <c r="I8" s="258">
        <f>I9+I13+I14+I15+I16+I17+I18+I19+I26+I32+I37+I38+I42+I48+I53</f>
        <v>52.118000000000002</v>
      </c>
      <c r="J8" s="258">
        <f>J9+J13+J14+J15+J16+J17+J18+J19+J26+J32+J37+J38+J42+J48+J53</f>
        <v>25.690000009999999</v>
      </c>
      <c r="L8" s="285">
        <f>I8/D8-1</f>
        <v>0.94688083675756451</v>
      </c>
    </row>
    <row r="9" spans="1:12" x14ac:dyDescent="0.25">
      <c r="A9" s="255">
        <v>1</v>
      </c>
      <c r="B9" s="256" t="s">
        <v>170</v>
      </c>
      <c r="C9" s="257" t="s">
        <v>117</v>
      </c>
      <c r="D9" s="258">
        <f>D10+D11+D12</f>
        <v>0</v>
      </c>
      <c r="E9" s="258">
        <f t="shared" ref="E9:J9" si="0">E10+E11+E12</f>
        <v>0</v>
      </c>
      <c r="F9" s="258">
        <f t="shared" si="0"/>
        <v>0</v>
      </c>
      <c r="G9" s="258">
        <f t="shared" si="0"/>
        <v>1E-8</v>
      </c>
      <c r="H9" s="376">
        <f>I9/G9</f>
        <v>0</v>
      </c>
      <c r="I9" s="258">
        <f t="shared" si="0"/>
        <v>0</v>
      </c>
      <c r="J9" s="258">
        <f t="shared" si="0"/>
        <v>1E-8</v>
      </c>
      <c r="K9" s="151"/>
      <c r="L9" s="268"/>
    </row>
    <row r="10" spans="1:12" x14ac:dyDescent="0.25">
      <c r="A10" s="260" t="s">
        <v>59</v>
      </c>
      <c r="B10" s="261" t="s">
        <v>171</v>
      </c>
      <c r="C10" s="252" t="s">
        <v>118</v>
      </c>
      <c r="D10" s="262"/>
      <c r="E10" s="262"/>
      <c r="F10" s="262"/>
      <c r="G10" s="262">
        <f>ФОТ!G9</f>
        <v>1E-8</v>
      </c>
      <c r="H10" s="376">
        <f>I10/G10</f>
        <v>0</v>
      </c>
      <c r="I10" s="262">
        <f>ФОТ!I9</f>
        <v>0</v>
      </c>
      <c r="J10" s="262">
        <f>ФОТ!J9</f>
        <v>1E-8</v>
      </c>
      <c r="K10" s="151"/>
      <c r="L10" s="268"/>
    </row>
    <row r="11" spans="1:12" ht="47.25" x14ac:dyDescent="0.25">
      <c r="A11" s="260" t="s">
        <v>60</v>
      </c>
      <c r="B11" s="261" t="s">
        <v>81</v>
      </c>
      <c r="C11" s="252" t="s">
        <v>119</v>
      </c>
      <c r="D11" s="262"/>
      <c r="E11" s="262"/>
      <c r="F11" s="262"/>
      <c r="G11" s="262">
        <f>ROUND(G10*0.22,1)</f>
        <v>0</v>
      </c>
      <c r="H11" s="377" t="e">
        <f>I11/G11</f>
        <v>#DIV/0!</v>
      </c>
      <c r="I11" s="262">
        <f>ROUND(I10*0.22,2)</f>
        <v>0</v>
      </c>
      <c r="J11" s="262">
        <f t="shared" ref="J11" si="1">ROUND(J10*0.22,1)</f>
        <v>0</v>
      </c>
      <c r="K11" s="151"/>
      <c r="L11" s="268"/>
    </row>
    <row r="12" spans="1:12" x14ac:dyDescent="0.25">
      <c r="A12" s="260" t="s">
        <v>61</v>
      </c>
      <c r="B12" s="261" t="s">
        <v>172</v>
      </c>
      <c r="C12" s="252" t="s">
        <v>120</v>
      </c>
      <c r="D12" s="262"/>
      <c r="E12" s="262"/>
      <c r="F12" s="262"/>
      <c r="G12" s="262"/>
      <c r="H12" s="376"/>
      <c r="I12" s="262"/>
      <c r="J12" s="262"/>
    </row>
    <row r="13" spans="1:12" s="136" customFormat="1" ht="47.25" x14ac:dyDescent="0.25">
      <c r="A13" s="255">
        <v>2</v>
      </c>
      <c r="B13" s="256" t="s">
        <v>173</v>
      </c>
      <c r="C13" s="257" t="s">
        <v>121</v>
      </c>
      <c r="D13" s="258"/>
      <c r="E13" s="258"/>
      <c r="F13" s="258"/>
      <c r="G13" s="258"/>
      <c r="H13" s="376"/>
      <c r="I13" s="258"/>
      <c r="J13" s="258"/>
    </row>
    <row r="14" spans="1:12" s="136" customFormat="1" ht="47.25" x14ac:dyDescent="0.25">
      <c r="A14" s="255">
        <v>3</v>
      </c>
      <c r="B14" s="256" t="s">
        <v>174</v>
      </c>
      <c r="C14" s="257" t="s">
        <v>122</v>
      </c>
      <c r="D14" s="258">
        <v>5.2889999999999997</v>
      </c>
      <c r="E14" s="258">
        <v>5.2889999999999997</v>
      </c>
      <c r="F14" s="258"/>
      <c r="G14" s="258">
        <v>10.577999999999999</v>
      </c>
      <c r="H14" s="401">
        <v>0.5</v>
      </c>
      <c r="I14" s="258">
        <f>ROUND(G14*H14,2)</f>
        <v>5.29</v>
      </c>
      <c r="J14" s="258">
        <v>5.29</v>
      </c>
    </row>
    <row r="15" spans="1:12" s="136" customFormat="1" ht="47.25" x14ac:dyDescent="0.25">
      <c r="A15" s="255">
        <v>4</v>
      </c>
      <c r="B15" s="256" t="s">
        <v>175</v>
      </c>
      <c r="C15" s="257" t="s">
        <v>123</v>
      </c>
      <c r="D15" s="258">
        <f>E15+F15</f>
        <v>0</v>
      </c>
      <c r="E15" s="258">
        <v>0</v>
      </c>
      <c r="F15" s="258">
        <v>0</v>
      </c>
      <c r="G15" s="258">
        <v>0</v>
      </c>
      <c r="H15" s="401">
        <v>1</v>
      </c>
      <c r="I15" s="258">
        <f>ROUND(G15*H15,2)</f>
        <v>0</v>
      </c>
      <c r="J15" s="262">
        <f>G15-I15</f>
        <v>0</v>
      </c>
      <c r="L15" s="319"/>
    </row>
    <row r="16" spans="1:12" s="136" customFormat="1" ht="47.25" x14ac:dyDescent="0.25">
      <c r="A16" s="255">
        <v>5</v>
      </c>
      <c r="B16" s="256" t="s">
        <v>176</v>
      </c>
      <c r="C16" s="257" t="s">
        <v>124</v>
      </c>
      <c r="D16" s="258"/>
      <c r="E16" s="258"/>
      <c r="F16" s="258"/>
      <c r="G16" s="258"/>
      <c r="H16" s="376"/>
      <c r="I16" s="258"/>
      <c r="J16" s="258"/>
    </row>
    <row r="17" spans="1:10" s="136" customFormat="1" ht="47.25" x14ac:dyDescent="0.25">
      <c r="A17" s="255">
        <v>6</v>
      </c>
      <c r="B17" s="256" t="s">
        <v>177</v>
      </c>
      <c r="C17" s="257" t="s">
        <v>125</v>
      </c>
      <c r="D17" s="258"/>
      <c r="E17" s="258"/>
      <c r="F17" s="258"/>
      <c r="G17" s="258"/>
      <c r="H17" s="376"/>
      <c r="I17" s="258"/>
      <c r="J17" s="258"/>
    </row>
    <row r="18" spans="1:10" s="136" customFormat="1" ht="31.5" x14ac:dyDescent="0.25">
      <c r="A18" s="255">
        <v>7</v>
      </c>
      <c r="B18" s="256" t="s">
        <v>178</v>
      </c>
      <c r="C18" s="257" t="s">
        <v>126</v>
      </c>
      <c r="D18" s="258"/>
      <c r="E18" s="258"/>
      <c r="F18" s="258"/>
      <c r="G18" s="258"/>
      <c r="H18" s="376"/>
      <c r="I18" s="258"/>
      <c r="J18" s="258"/>
    </row>
    <row r="19" spans="1:10" s="136" customFormat="1" ht="31.5" x14ac:dyDescent="0.25">
      <c r="A19" s="255">
        <v>8</v>
      </c>
      <c r="B19" s="256" t="s">
        <v>179</v>
      </c>
      <c r="C19" s="257" t="s">
        <v>127</v>
      </c>
      <c r="D19" s="258">
        <f>D20+D21+D22+D23+D24+D25</f>
        <v>1.3480000000000001</v>
      </c>
      <c r="E19" s="258">
        <f>E20+E21+E22+E23+E24+E25</f>
        <v>1.3480000000000001</v>
      </c>
      <c r="F19" s="258"/>
      <c r="G19" s="258">
        <f>G20+G21+G22+G23+G24+G25</f>
        <v>1.3480000000000001</v>
      </c>
      <c r="H19" s="376"/>
      <c r="I19" s="258">
        <f>I20+I21+I22+I23+I24+I25</f>
        <v>1.3480000000000001</v>
      </c>
      <c r="J19" s="258"/>
    </row>
    <row r="20" spans="1:10" x14ac:dyDescent="0.25">
      <c r="A20" s="260" t="s">
        <v>219</v>
      </c>
      <c r="B20" s="261" t="s">
        <v>180</v>
      </c>
      <c r="C20" s="252" t="s">
        <v>128</v>
      </c>
      <c r="D20" s="262"/>
      <c r="E20" s="262"/>
      <c r="F20" s="262"/>
      <c r="G20" s="262"/>
      <c r="H20" s="376"/>
      <c r="I20" s="262"/>
      <c r="J20" s="262"/>
    </row>
    <row r="21" spans="1:10" x14ac:dyDescent="0.25">
      <c r="A21" s="260" t="s">
        <v>220</v>
      </c>
      <c r="B21" s="261" t="s">
        <v>181</v>
      </c>
      <c r="C21" s="252" t="s">
        <v>129</v>
      </c>
      <c r="D21" s="262"/>
      <c r="E21" s="262"/>
      <c r="F21" s="262"/>
      <c r="G21" s="262"/>
      <c r="H21" s="376"/>
      <c r="I21" s="262"/>
      <c r="J21" s="262"/>
    </row>
    <row r="22" spans="1:10" x14ac:dyDescent="0.25">
      <c r="A22" s="260" t="s">
        <v>221</v>
      </c>
      <c r="B22" s="261" t="s">
        <v>182</v>
      </c>
      <c r="C22" s="252" t="s">
        <v>130</v>
      </c>
      <c r="D22" s="262"/>
      <c r="E22" s="262"/>
      <c r="F22" s="262"/>
      <c r="G22" s="262"/>
      <c r="H22" s="376"/>
      <c r="I22" s="262"/>
      <c r="J22" s="262"/>
    </row>
    <row r="23" spans="1:10" x14ac:dyDescent="0.25">
      <c r="A23" s="260" t="s">
        <v>222</v>
      </c>
      <c r="B23" s="261" t="s">
        <v>183</v>
      </c>
      <c r="C23" s="252" t="s">
        <v>131</v>
      </c>
      <c r="D23" s="263"/>
      <c r="E23" s="262"/>
      <c r="F23" s="262"/>
      <c r="G23" s="263"/>
      <c r="H23" s="376"/>
      <c r="I23" s="262"/>
      <c r="J23" s="262"/>
    </row>
    <row r="24" spans="1:10" x14ac:dyDescent="0.25">
      <c r="A24" s="260" t="s">
        <v>223</v>
      </c>
      <c r="B24" s="261" t="s">
        <v>184</v>
      </c>
      <c r="C24" s="252" t="s">
        <v>132</v>
      </c>
      <c r="D24" s="262">
        <f>E24</f>
        <v>1.3480000000000001</v>
      </c>
      <c r="E24" s="262">
        <v>1.3480000000000001</v>
      </c>
      <c r="F24" s="262"/>
      <c r="G24" s="262">
        <f>I24</f>
        <v>1.3480000000000001</v>
      </c>
      <c r="H24" s="401">
        <v>1</v>
      </c>
      <c r="I24" s="262">
        <v>1.3480000000000001</v>
      </c>
      <c r="J24" s="262"/>
    </row>
    <row r="25" spans="1:10" x14ac:dyDescent="0.25">
      <c r="A25" s="260" t="s">
        <v>451</v>
      </c>
      <c r="B25" s="261" t="s">
        <v>452</v>
      </c>
      <c r="C25" s="252" t="s">
        <v>133</v>
      </c>
      <c r="D25" s="262"/>
      <c r="E25" s="262"/>
      <c r="F25" s="262"/>
      <c r="G25" s="262"/>
      <c r="H25" s="376"/>
      <c r="I25" s="262"/>
      <c r="J25" s="262"/>
    </row>
    <row r="26" spans="1:10" s="136" customFormat="1" ht="31.5" x14ac:dyDescent="0.25">
      <c r="A26" s="255">
        <v>9</v>
      </c>
      <c r="B26" s="256" t="s">
        <v>185</v>
      </c>
      <c r="C26" s="257" t="s">
        <v>134</v>
      </c>
      <c r="D26" s="258">
        <f>D27+D28</f>
        <v>19.605</v>
      </c>
      <c r="E26" s="258">
        <f t="shared" ref="E26:J26" si="2">E27+E28</f>
        <v>19.605</v>
      </c>
      <c r="F26" s="258">
        <f t="shared" si="2"/>
        <v>0</v>
      </c>
      <c r="G26" s="258">
        <f>G27+G28</f>
        <v>46.504875000000006</v>
      </c>
      <c r="H26" s="258">
        <v>100</v>
      </c>
      <c r="I26" s="258">
        <f t="shared" si="2"/>
        <v>26.099999999999998</v>
      </c>
      <c r="J26" s="258">
        <f t="shared" si="2"/>
        <v>20.399999999999999</v>
      </c>
    </row>
    <row r="27" spans="1:10" ht="47.25" x14ac:dyDescent="0.25">
      <c r="A27" s="260" t="s">
        <v>66</v>
      </c>
      <c r="B27" s="261" t="s">
        <v>186</v>
      </c>
      <c r="C27" s="252" t="s">
        <v>135</v>
      </c>
      <c r="D27" s="262">
        <v>4.024</v>
      </c>
      <c r="E27" s="262">
        <v>4.024</v>
      </c>
      <c r="F27" s="262"/>
      <c r="G27" s="262">
        <f>I27</f>
        <v>5.7</v>
      </c>
      <c r="H27" s="402">
        <v>1</v>
      </c>
      <c r="I27" s="262">
        <v>5.7</v>
      </c>
      <c r="J27" s="262"/>
    </row>
    <row r="28" spans="1:10" x14ac:dyDescent="0.25">
      <c r="A28" s="260" t="s">
        <v>67</v>
      </c>
      <c r="B28" s="264" t="s">
        <v>187</v>
      </c>
      <c r="C28" s="252" t="s">
        <v>136</v>
      </c>
      <c r="D28" s="262">
        <f>SUM(D29:D31)</f>
        <v>15.581</v>
      </c>
      <c r="E28" s="262">
        <f>SUM(E29:E31)</f>
        <v>15.581</v>
      </c>
      <c r="F28" s="262">
        <f>SUM(F29:F31)</f>
        <v>0</v>
      </c>
      <c r="G28" s="262">
        <f>SUM(G29:G31)</f>
        <v>40.804875000000003</v>
      </c>
      <c r="H28" s="402">
        <f>I28/G28</f>
        <v>0.49994026449045603</v>
      </c>
      <c r="I28" s="262">
        <f>SUM(I29:I31)</f>
        <v>20.399999999999999</v>
      </c>
      <c r="J28" s="262">
        <f>SUM(J29:J31)</f>
        <v>20.399999999999999</v>
      </c>
    </row>
    <row r="29" spans="1:10" x14ac:dyDescent="0.25">
      <c r="A29" s="260" t="s">
        <v>453</v>
      </c>
      <c r="B29" s="264" t="s">
        <v>188</v>
      </c>
      <c r="C29" s="252" t="s">
        <v>137</v>
      </c>
      <c r="D29" s="262">
        <v>0</v>
      </c>
      <c r="E29" s="262">
        <v>0</v>
      </c>
      <c r="F29" s="262">
        <v>0</v>
      </c>
      <c r="G29" s="262">
        <f>SUMIF(ПММ!$C$7:$C$13,"бензин",ПММ!$O$7:$O$13)</f>
        <v>0</v>
      </c>
      <c r="H29" s="402"/>
      <c r="I29" s="262">
        <v>0</v>
      </c>
      <c r="J29" s="262">
        <f>G29-I29</f>
        <v>0</v>
      </c>
    </row>
    <row r="30" spans="1:10" x14ac:dyDescent="0.25">
      <c r="A30" s="260" t="s">
        <v>454</v>
      </c>
      <c r="B30" s="264" t="s">
        <v>189</v>
      </c>
      <c r="C30" s="252" t="s">
        <v>138</v>
      </c>
      <c r="D30" s="262">
        <v>15.581</v>
      </c>
      <c r="E30" s="262">
        <v>15.581</v>
      </c>
      <c r="F30" s="262">
        <v>0</v>
      </c>
      <c r="G30" s="262">
        <f>SUMIF(ПММ!$C$7:$C$13,"дизпаливо",ПММ!$O$7:$O$13)</f>
        <v>40.804875000000003</v>
      </c>
      <c r="H30" s="402">
        <v>0.5</v>
      </c>
      <c r="I30" s="262">
        <f>ROUND(G30*H30,2)</f>
        <v>20.399999999999999</v>
      </c>
      <c r="J30" s="262">
        <v>20.399999999999999</v>
      </c>
    </row>
    <row r="31" spans="1:10" x14ac:dyDescent="0.25">
      <c r="A31" s="260" t="s">
        <v>455</v>
      </c>
      <c r="B31" s="264" t="s">
        <v>456</v>
      </c>
      <c r="C31" s="252" t="s">
        <v>140</v>
      </c>
      <c r="D31" s="262">
        <v>0</v>
      </c>
      <c r="E31" s="262">
        <v>0</v>
      </c>
      <c r="F31" s="262">
        <f>D31-E31</f>
        <v>0</v>
      </c>
      <c r="G31" s="262">
        <f>SUM(ПММ!R10:R13)</f>
        <v>0</v>
      </c>
      <c r="H31" s="402"/>
      <c r="I31" s="262">
        <v>0</v>
      </c>
      <c r="J31" s="262">
        <f>G31-I31</f>
        <v>0</v>
      </c>
    </row>
    <row r="32" spans="1:10" s="136" customFormat="1" ht="47.25" x14ac:dyDescent="0.25">
      <c r="A32" s="255">
        <v>10</v>
      </c>
      <c r="B32" s="256" t="s">
        <v>190</v>
      </c>
      <c r="C32" s="257" t="s">
        <v>141</v>
      </c>
      <c r="D32" s="258">
        <f>D33+D34+D35+D36</f>
        <v>0</v>
      </c>
      <c r="E32" s="258">
        <f t="shared" ref="E32:J32" si="3">E33+E34+E35+E36</f>
        <v>0</v>
      </c>
      <c r="F32" s="258">
        <f t="shared" si="3"/>
        <v>0</v>
      </c>
      <c r="G32" s="258">
        <f t="shared" si="3"/>
        <v>12.88</v>
      </c>
      <c r="H32" s="403">
        <v>1</v>
      </c>
      <c r="I32" s="258">
        <f>I33+I34+I35+I36</f>
        <v>12.88</v>
      </c>
      <c r="J32" s="258">
        <f t="shared" si="3"/>
        <v>0</v>
      </c>
    </row>
    <row r="33" spans="1:14" x14ac:dyDescent="0.25">
      <c r="A33" s="260" t="s">
        <v>226</v>
      </c>
      <c r="B33" s="264" t="s">
        <v>457</v>
      </c>
      <c r="C33" s="252" t="s">
        <v>142</v>
      </c>
      <c r="D33" s="262"/>
      <c r="E33" s="262"/>
      <c r="F33" s="262"/>
      <c r="G33" s="262">
        <v>0</v>
      </c>
      <c r="H33" s="402"/>
      <c r="I33" s="262">
        <v>0</v>
      </c>
      <c r="J33" s="262"/>
    </row>
    <row r="34" spans="1:14" x14ac:dyDescent="0.25">
      <c r="A34" s="260" t="s">
        <v>227</v>
      </c>
      <c r="B34" s="264" t="s">
        <v>458</v>
      </c>
      <c r="C34" s="252" t="s">
        <v>143</v>
      </c>
      <c r="D34" s="262"/>
      <c r="E34" s="262"/>
      <c r="F34" s="262"/>
      <c r="G34" s="262"/>
      <c r="H34" s="402"/>
      <c r="I34" s="262"/>
      <c r="J34" s="262"/>
    </row>
    <row r="35" spans="1:14" x14ac:dyDescent="0.25">
      <c r="A35" s="260" t="s">
        <v>228</v>
      </c>
      <c r="B35" s="264" t="s">
        <v>459</v>
      </c>
      <c r="C35" s="252" t="s">
        <v>144</v>
      </c>
      <c r="D35" s="262">
        <f>E35</f>
        <v>0</v>
      </c>
      <c r="E35" s="262">
        <v>0</v>
      </c>
      <c r="F35" s="262"/>
      <c r="G35" s="262">
        <v>1.5</v>
      </c>
      <c r="H35" s="402">
        <v>1</v>
      </c>
      <c r="I35" s="262">
        <v>1.5</v>
      </c>
      <c r="J35" s="262"/>
    </row>
    <row r="36" spans="1:14" x14ac:dyDescent="0.25">
      <c r="A36" s="260" t="s">
        <v>460</v>
      </c>
      <c r="B36" s="264" t="s">
        <v>461</v>
      </c>
      <c r="C36" s="252" t="s">
        <v>145</v>
      </c>
      <c r="D36" s="262">
        <f>E36</f>
        <v>0</v>
      </c>
      <c r="E36" s="262">
        <v>0</v>
      </c>
      <c r="F36" s="262">
        <v>0</v>
      </c>
      <c r="G36" s="262">
        <f>ОхронаПраці!F16</f>
        <v>11.38</v>
      </c>
      <c r="H36" s="402">
        <v>1</v>
      </c>
      <c r="I36" s="262">
        <f>ROUND(G36*H36,2)</f>
        <v>11.38</v>
      </c>
      <c r="J36" s="262">
        <f>G36-I36</f>
        <v>0</v>
      </c>
    </row>
    <row r="37" spans="1:14" s="136" customFormat="1" ht="31.5" x14ac:dyDescent="0.25">
      <c r="A37" s="255">
        <v>11</v>
      </c>
      <c r="B37" s="256" t="s">
        <v>486</v>
      </c>
      <c r="C37" s="257" t="s">
        <v>200</v>
      </c>
      <c r="D37" s="258"/>
      <c r="E37" s="258"/>
      <c r="F37" s="258"/>
      <c r="G37" s="258"/>
      <c r="H37" s="404"/>
      <c r="I37" s="258"/>
      <c r="J37" s="258"/>
    </row>
    <row r="38" spans="1:14" s="136" customFormat="1" ht="31.5" x14ac:dyDescent="0.25">
      <c r="A38" s="255">
        <v>12</v>
      </c>
      <c r="B38" s="256" t="s">
        <v>191</v>
      </c>
      <c r="C38" s="257" t="s">
        <v>201</v>
      </c>
      <c r="D38" s="258">
        <f>D39+D40+D41</f>
        <v>0</v>
      </c>
      <c r="E38" s="341">
        <f>E39+E40+E41</f>
        <v>0</v>
      </c>
      <c r="F38" s="258"/>
      <c r="G38" s="258">
        <f>G39+G40+G41</f>
        <v>0</v>
      </c>
      <c r="H38" s="404"/>
      <c r="I38" s="258">
        <f>I39+I40+I41</f>
        <v>0</v>
      </c>
      <c r="J38" s="258">
        <f>J39+J40+J41</f>
        <v>0</v>
      </c>
    </row>
    <row r="39" spans="1:14" x14ac:dyDescent="0.25">
      <c r="A39" s="260" t="s">
        <v>231</v>
      </c>
      <c r="B39" s="261" t="s">
        <v>192</v>
      </c>
      <c r="C39" s="252" t="s">
        <v>202</v>
      </c>
      <c r="D39" s="262"/>
      <c r="E39" s="262"/>
      <c r="F39" s="262"/>
      <c r="G39" s="262"/>
      <c r="H39" s="402"/>
      <c r="I39" s="262"/>
      <c r="J39" s="262"/>
    </row>
    <row r="40" spans="1:14" x14ac:dyDescent="0.25">
      <c r="A40" s="260" t="s">
        <v>232</v>
      </c>
      <c r="B40" s="261" t="s">
        <v>462</v>
      </c>
      <c r="C40" s="252" t="s">
        <v>203</v>
      </c>
      <c r="D40" s="262"/>
      <c r="E40" s="262"/>
      <c r="F40" s="262"/>
      <c r="G40" s="262"/>
      <c r="H40" s="402"/>
      <c r="I40" s="262"/>
      <c r="J40" s="262"/>
    </row>
    <row r="41" spans="1:14" x14ac:dyDescent="0.25">
      <c r="A41" s="260" t="s">
        <v>233</v>
      </c>
      <c r="B41" s="261" t="s">
        <v>194</v>
      </c>
      <c r="C41" s="252" t="s">
        <v>204</v>
      </c>
      <c r="D41" s="262"/>
      <c r="E41" s="262"/>
      <c r="F41" s="262"/>
      <c r="G41" s="262"/>
      <c r="H41" s="402"/>
      <c r="I41" s="262"/>
      <c r="J41" s="262"/>
    </row>
    <row r="42" spans="1:14" s="136" customFormat="1" ht="31.5" x14ac:dyDescent="0.25">
      <c r="A42" s="255">
        <v>13</v>
      </c>
      <c r="B42" s="256" t="s">
        <v>195</v>
      </c>
      <c r="C42" s="257" t="s">
        <v>205</v>
      </c>
      <c r="D42" s="258">
        <f>D43+D44+D45+D46+D47</f>
        <v>0</v>
      </c>
      <c r="E42" s="258">
        <f>E43+E44+E45+E46+E47</f>
        <v>0</v>
      </c>
      <c r="F42" s="258"/>
      <c r="G42" s="258">
        <f>G43+G44+G45+G46+G47</f>
        <v>6</v>
      </c>
      <c r="H42" s="404">
        <v>1</v>
      </c>
      <c r="I42" s="258">
        <f>I43+I44+I45+I46+I47</f>
        <v>6</v>
      </c>
      <c r="J42" s="258">
        <f>J43+J44+J45</f>
        <v>0</v>
      </c>
      <c r="M42" s="127"/>
      <c r="N42" s="127"/>
    </row>
    <row r="43" spans="1:14" ht="31.5" x14ac:dyDescent="0.25">
      <c r="A43" s="260" t="s">
        <v>234</v>
      </c>
      <c r="B43" s="261" t="s">
        <v>196</v>
      </c>
      <c r="C43" s="252" t="s">
        <v>206</v>
      </c>
      <c r="D43" s="262"/>
      <c r="E43" s="262"/>
      <c r="F43" s="262"/>
      <c r="G43" s="262"/>
      <c r="H43" s="402"/>
      <c r="I43" s="262"/>
      <c r="J43" s="262"/>
    </row>
    <row r="44" spans="1:14" ht="31.5" x14ac:dyDescent="0.25">
      <c r="A44" s="260" t="s">
        <v>235</v>
      </c>
      <c r="B44" s="261" t="s">
        <v>463</v>
      </c>
      <c r="C44" s="252" t="s">
        <v>464</v>
      </c>
      <c r="D44" s="262"/>
      <c r="E44" s="262"/>
      <c r="F44" s="262"/>
      <c r="G44" s="262"/>
      <c r="H44" s="402"/>
      <c r="I44" s="262"/>
      <c r="J44" s="262"/>
    </row>
    <row r="45" spans="1:14" x14ac:dyDescent="0.25">
      <c r="A45" s="260" t="s">
        <v>236</v>
      </c>
      <c r="B45" s="261" t="s">
        <v>197</v>
      </c>
      <c r="C45" s="252" t="s">
        <v>207</v>
      </c>
      <c r="D45" s="262"/>
      <c r="E45" s="262"/>
      <c r="F45" s="262"/>
      <c r="G45" s="262"/>
      <c r="H45" s="402"/>
      <c r="I45" s="262"/>
      <c r="J45" s="262"/>
    </row>
    <row r="46" spans="1:14" x14ac:dyDescent="0.25">
      <c r="A46" s="260" t="s">
        <v>465</v>
      </c>
      <c r="B46" s="261" t="s">
        <v>466</v>
      </c>
      <c r="C46" s="252" t="s">
        <v>208</v>
      </c>
      <c r="D46" s="262"/>
      <c r="E46" s="262"/>
      <c r="F46" s="262"/>
      <c r="G46" s="262"/>
      <c r="H46" s="402"/>
      <c r="I46" s="262"/>
      <c r="J46" s="262"/>
    </row>
    <row r="47" spans="1:14" x14ac:dyDescent="0.25">
      <c r="A47" s="260" t="s">
        <v>467</v>
      </c>
      <c r="B47" s="261" t="s">
        <v>468</v>
      </c>
      <c r="C47" s="252" t="s">
        <v>209</v>
      </c>
      <c r="D47" s="262">
        <v>0</v>
      </c>
      <c r="E47" s="262">
        <v>0</v>
      </c>
      <c r="F47" s="262"/>
      <c r="G47" s="262">
        <f>I47+J47</f>
        <v>6</v>
      </c>
      <c r="H47" s="402">
        <v>1</v>
      </c>
      <c r="I47" s="262">
        <v>6</v>
      </c>
      <c r="J47" s="262"/>
    </row>
    <row r="48" spans="1:14" s="136" customFormat="1" x14ac:dyDescent="0.25">
      <c r="A48" s="255">
        <v>14</v>
      </c>
      <c r="B48" s="256" t="s">
        <v>198</v>
      </c>
      <c r="C48" s="257" t="s">
        <v>210</v>
      </c>
      <c r="D48" s="258"/>
      <c r="E48" s="258"/>
      <c r="F48" s="258"/>
      <c r="G48" s="258"/>
      <c r="H48" s="404"/>
      <c r="I48" s="258"/>
      <c r="J48" s="258"/>
    </row>
    <row r="49" spans="1:10" ht="31.5" x14ac:dyDescent="0.25">
      <c r="A49" s="260" t="s">
        <v>237</v>
      </c>
      <c r="B49" s="261" t="s">
        <v>303</v>
      </c>
      <c r="C49" s="252" t="s">
        <v>469</v>
      </c>
      <c r="D49" s="262"/>
      <c r="E49" s="262"/>
      <c r="F49" s="262"/>
      <c r="G49" s="262"/>
      <c r="H49" s="402"/>
      <c r="I49" s="262"/>
      <c r="J49" s="262"/>
    </row>
    <row r="50" spans="1:10" x14ac:dyDescent="0.25">
      <c r="A50" s="260" t="s">
        <v>238</v>
      </c>
      <c r="B50" s="261" t="s">
        <v>470</v>
      </c>
      <c r="C50" s="252" t="s">
        <v>211</v>
      </c>
      <c r="D50" s="262"/>
      <c r="E50" s="262"/>
      <c r="F50" s="262"/>
      <c r="G50" s="262"/>
      <c r="H50" s="402"/>
      <c r="I50" s="262"/>
      <c r="J50" s="262"/>
    </row>
    <row r="51" spans="1:10" x14ac:dyDescent="0.25">
      <c r="A51" s="260" t="s">
        <v>471</v>
      </c>
      <c r="B51" s="261" t="s">
        <v>472</v>
      </c>
      <c r="C51" s="252" t="s">
        <v>473</v>
      </c>
      <c r="D51" s="262"/>
      <c r="E51" s="262"/>
      <c r="F51" s="262"/>
      <c r="G51" s="262"/>
      <c r="H51" s="402"/>
      <c r="I51" s="262"/>
      <c r="J51" s="262"/>
    </row>
    <row r="52" spans="1:10" x14ac:dyDescent="0.25">
      <c r="A52" s="260" t="s">
        <v>474</v>
      </c>
      <c r="B52" s="261" t="s">
        <v>475</v>
      </c>
      <c r="C52" s="252" t="s">
        <v>476</v>
      </c>
      <c r="D52" s="262"/>
      <c r="E52" s="262"/>
      <c r="F52" s="262"/>
      <c r="G52" s="262"/>
      <c r="H52" s="402"/>
      <c r="I52" s="262"/>
      <c r="J52" s="262"/>
    </row>
    <row r="53" spans="1:10" s="136" customFormat="1" ht="47.25" x14ac:dyDescent="0.25">
      <c r="A53" s="255">
        <v>15</v>
      </c>
      <c r="B53" s="256" t="s">
        <v>199</v>
      </c>
      <c r="C53" s="257" t="s">
        <v>212</v>
      </c>
      <c r="D53" s="258">
        <f>SUM(D54:D59)</f>
        <v>0.52800000000000002</v>
      </c>
      <c r="E53" s="258">
        <f>SUM(E54:E59)</f>
        <v>0.52800000000000002</v>
      </c>
      <c r="F53" s="258">
        <f>SUM(F54:F59)</f>
        <v>0</v>
      </c>
      <c r="G53" s="258">
        <f t="shared" ref="G53:J53" si="4">SUM(G54:G59)</f>
        <v>0.5</v>
      </c>
      <c r="H53" s="403">
        <f t="shared" si="4"/>
        <v>1</v>
      </c>
      <c r="I53" s="258">
        <f t="shared" si="4"/>
        <v>0.5</v>
      </c>
      <c r="J53" s="258">
        <f t="shared" si="4"/>
        <v>0</v>
      </c>
    </row>
    <row r="54" spans="1:10" x14ac:dyDescent="0.25">
      <c r="A54" s="260" t="s">
        <v>239</v>
      </c>
      <c r="B54" s="261" t="s">
        <v>480</v>
      </c>
      <c r="C54" s="252" t="s">
        <v>477</v>
      </c>
      <c r="D54" s="262">
        <v>0.52800000000000002</v>
      </c>
      <c r="E54" s="262">
        <v>0.52800000000000002</v>
      </c>
      <c r="F54" s="262"/>
      <c r="G54" s="262">
        <v>0.5</v>
      </c>
      <c r="H54" s="402">
        <v>1</v>
      </c>
      <c r="I54" s="262">
        <v>0.5</v>
      </c>
      <c r="J54" s="262"/>
    </row>
    <row r="55" spans="1:10" x14ac:dyDescent="0.25">
      <c r="A55" s="260" t="s">
        <v>240</v>
      </c>
      <c r="B55" s="261" t="s">
        <v>481</v>
      </c>
      <c r="C55" s="252" t="s">
        <v>478</v>
      </c>
      <c r="D55" s="262"/>
      <c r="E55" s="262"/>
      <c r="F55" s="262"/>
      <c r="G55" s="262"/>
      <c r="H55" s="402"/>
      <c r="I55" s="262"/>
      <c r="J55" s="262"/>
    </row>
    <row r="56" spans="1:10" x14ac:dyDescent="0.25">
      <c r="A56" s="260" t="s">
        <v>267</v>
      </c>
      <c r="B56" s="261" t="s">
        <v>482</v>
      </c>
      <c r="C56" s="252" t="s">
        <v>479</v>
      </c>
      <c r="D56" s="262"/>
      <c r="E56" s="262"/>
      <c r="F56" s="262"/>
      <c r="G56" s="262"/>
      <c r="H56" s="402"/>
      <c r="I56" s="262"/>
      <c r="J56" s="262"/>
    </row>
    <row r="57" spans="1:10" x14ac:dyDescent="0.25">
      <c r="A57" s="260" t="s">
        <v>487</v>
      </c>
      <c r="B57" s="261" t="s">
        <v>483</v>
      </c>
      <c r="C57" s="252" t="s">
        <v>490</v>
      </c>
      <c r="D57" s="262"/>
      <c r="E57" s="262"/>
      <c r="F57" s="262"/>
      <c r="G57" s="262"/>
      <c r="H57" s="402"/>
      <c r="I57" s="262"/>
      <c r="J57" s="262"/>
    </row>
    <row r="58" spans="1:10" x14ac:dyDescent="0.25">
      <c r="A58" s="260" t="s">
        <v>488</v>
      </c>
      <c r="B58" s="261" t="s">
        <v>484</v>
      </c>
      <c r="C58" s="252" t="s">
        <v>491</v>
      </c>
      <c r="D58" s="262"/>
      <c r="E58" s="262"/>
      <c r="F58" s="262"/>
      <c r="G58" s="262"/>
      <c r="H58" s="402"/>
      <c r="I58" s="262"/>
      <c r="J58" s="262"/>
    </row>
    <row r="59" spans="1:10" x14ac:dyDescent="0.25">
      <c r="A59" s="260" t="s">
        <v>489</v>
      </c>
      <c r="B59" s="261" t="s">
        <v>485</v>
      </c>
      <c r="C59" s="252" t="s">
        <v>492</v>
      </c>
      <c r="D59" s="262"/>
      <c r="E59" s="262"/>
      <c r="F59" s="262"/>
      <c r="G59" s="375"/>
      <c r="H59" s="402"/>
      <c r="I59" s="375"/>
      <c r="J59" s="262"/>
    </row>
    <row r="60" spans="1:10" x14ac:dyDescent="0.25">
      <c r="G60" s="268"/>
      <c r="J60" s="127" t="s">
        <v>626</v>
      </c>
    </row>
    <row r="61" spans="1:10" customFormat="1" ht="14.25" customHeight="1" x14ac:dyDescent="0.25">
      <c r="A61" s="2"/>
      <c r="B61" s="492" t="s">
        <v>15</v>
      </c>
      <c r="C61" s="2"/>
      <c r="D61" s="493" t="s">
        <v>57</v>
      </c>
      <c r="E61" s="493"/>
      <c r="F61" s="493"/>
      <c r="G61" s="437" t="s">
        <v>57</v>
      </c>
      <c r="H61" s="437"/>
      <c r="I61" s="437"/>
    </row>
    <row r="62" spans="1:10" customFormat="1" ht="14.25" customHeight="1" x14ac:dyDescent="0.25">
      <c r="A62" s="2"/>
      <c r="B62" s="492"/>
      <c r="C62" s="2"/>
      <c r="D62" s="494" t="s">
        <v>17</v>
      </c>
      <c r="E62" s="494"/>
      <c r="F62" s="494"/>
      <c r="G62" s="437" t="s">
        <v>18</v>
      </c>
      <c r="H62" s="437"/>
      <c r="I62" s="437"/>
    </row>
    <row r="63" spans="1:10" customFormat="1" ht="14.25" customHeight="1" x14ac:dyDescent="0.25">
      <c r="A63" s="226"/>
      <c r="B63" s="4"/>
      <c r="C63" s="5"/>
      <c r="D63" s="225" t="s">
        <v>19</v>
      </c>
      <c r="I63" s="343"/>
    </row>
    <row r="64" spans="1:10" customFormat="1" ht="20.25" customHeight="1" x14ac:dyDescent="0.25">
      <c r="A64" s="2"/>
      <c r="B64" s="491" t="s">
        <v>647</v>
      </c>
      <c r="C64" s="491"/>
      <c r="D64" s="491"/>
      <c r="I64" s="343"/>
    </row>
    <row r="65" spans="1:9" customFormat="1" ht="15" x14ac:dyDescent="0.25">
      <c r="A65" s="2"/>
      <c r="C65" s="2"/>
      <c r="I65" s="343"/>
    </row>
    <row r="66" spans="1:9" customFormat="1" ht="15" x14ac:dyDescent="0.25">
      <c r="A66" s="2"/>
      <c r="C66" s="2"/>
      <c r="I66" s="343"/>
    </row>
    <row r="67" spans="1:9" customFormat="1" ht="15" x14ac:dyDescent="0.25">
      <c r="A67" s="2"/>
      <c r="C67" s="2"/>
      <c r="I67" s="343"/>
    </row>
  </sheetData>
  <mergeCells count="17">
    <mergeCell ref="A1:J1"/>
    <mergeCell ref="A2:J2"/>
    <mergeCell ref="E5:F5"/>
    <mergeCell ref="G5:G6"/>
    <mergeCell ref="H5:J5"/>
    <mergeCell ref="A4:A6"/>
    <mergeCell ref="B4:B6"/>
    <mergeCell ref="C4:C6"/>
    <mergeCell ref="D4:F4"/>
    <mergeCell ref="G4:J4"/>
    <mergeCell ref="D5:D6"/>
    <mergeCell ref="B64:D64"/>
    <mergeCell ref="G61:I61"/>
    <mergeCell ref="G62:I62"/>
    <mergeCell ref="B61:B62"/>
    <mergeCell ref="D61:F61"/>
    <mergeCell ref="D62:F6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="71" zoomScaleNormal="71" workbookViewId="0">
      <selection activeCell="O39" sqref="O39"/>
    </sheetView>
  </sheetViews>
  <sheetFormatPr defaultRowHeight="15" x14ac:dyDescent="0.25"/>
  <cols>
    <col min="1" max="1" width="51.42578125" bestFit="1" customWidth="1"/>
    <col min="2" max="2" width="15.28515625" style="305" customWidth="1"/>
    <col min="3" max="3" width="12.42578125" bestFit="1" customWidth="1"/>
    <col min="4" max="4" width="11" bestFit="1" customWidth="1"/>
    <col min="5" max="6" width="10" bestFit="1" customWidth="1"/>
    <col min="7" max="7" width="9.5703125" customWidth="1"/>
    <col min="9" max="9" width="10.5703125" customWidth="1"/>
    <col min="10" max="10" width="13.7109375" customWidth="1"/>
    <col min="12" max="12" width="10.140625" customWidth="1"/>
    <col min="13" max="13" width="9.5703125" bestFit="1" customWidth="1"/>
    <col min="14" max="14" width="10.28515625" customWidth="1"/>
    <col min="15" max="15" width="10" customWidth="1"/>
    <col min="19" max="19" width="9.140625" style="25"/>
  </cols>
  <sheetData>
    <row r="1" spans="1:20" s="286" customFormat="1" ht="18.75" x14ac:dyDescent="0.3">
      <c r="A1" s="458" t="s">
        <v>538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</row>
    <row r="2" spans="1:20" s="127" customFormat="1" ht="15.75" x14ac:dyDescent="0.25">
      <c r="B2" s="283"/>
    </row>
    <row r="3" spans="1:20" s="281" customFormat="1" ht="41.25" customHeight="1" x14ac:dyDescent="0.25">
      <c r="A3" s="503" t="s">
        <v>522</v>
      </c>
      <c r="B3" s="488" t="s">
        <v>547</v>
      </c>
      <c r="C3" s="488" t="s">
        <v>523</v>
      </c>
      <c r="D3" s="488" t="s">
        <v>524</v>
      </c>
      <c r="E3" s="488"/>
      <c r="F3" s="488"/>
      <c r="G3" s="488" t="s">
        <v>657</v>
      </c>
      <c r="H3" s="488"/>
      <c r="I3" s="488"/>
      <c r="J3" s="488" t="s">
        <v>658</v>
      </c>
      <c r="K3" s="488"/>
      <c r="L3" s="488"/>
      <c r="M3" s="488" t="s">
        <v>525</v>
      </c>
      <c r="N3" s="488"/>
      <c r="O3" s="488"/>
      <c r="P3" s="488"/>
      <c r="Q3" s="488"/>
      <c r="R3" s="488"/>
      <c r="S3" s="488" t="s">
        <v>526</v>
      </c>
      <c r="T3" s="287"/>
    </row>
    <row r="4" spans="1:20" s="281" customFormat="1" ht="69.75" customHeight="1" x14ac:dyDescent="0.25">
      <c r="A4" s="503"/>
      <c r="B4" s="488"/>
      <c r="C4" s="488"/>
      <c r="D4" s="298" t="s">
        <v>288</v>
      </c>
      <c r="E4" s="298" t="s">
        <v>659</v>
      </c>
      <c r="F4" s="298" t="s">
        <v>527</v>
      </c>
      <c r="G4" s="298" t="s">
        <v>345</v>
      </c>
      <c r="H4" s="298" t="s">
        <v>528</v>
      </c>
      <c r="I4" s="298" t="s">
        <v>529</v>
      </c>
      <c r="J4" s="298" t="s">
        <v>530</v>
      </c>
      <c r="K4" s="298" t="s">
        <v>528</v>
      </c>
      <c r="L4" s="298" t="s">
        <v>531</v>
      </c>
      <c r="M4" s="298" t="s">
        <v>532</v>
      </c>
      <c r="N4" s="298" t="s">
        <v>533</v>
      </c>
      <c r="O4" s="298" t="s">
        <v>534</v>
      </c>
      <c r="P4" s="298" t="s">
        <v>535</v>
      </c>
      <c r="Q4" s="298" t="s">
        <v>536</v>
      </c>
      <c r="R4" s="298" t="s">
        <v>537</v>
      </c>
      <c r="S4" s="488"/>
    </row>
    <row r="5" spans="1:20" s="282" customFormat="1" ht="15.75" x14ac:dyDescent="0.25">
      <c r="A5" s="288" t="s">
        <v>33</v>
      </c>
      <c r="B5" s="288">
        <v>1</v>
      </c>
      <c r="C5" s="288">
        <v>2</v>
      </c>
      <c r="D5" s="288">
        <v>3</v>
      </c>
      <c r="E5" s="288">
        <v>4</v>
      </c>
      <c r="F5" s="288">
        <v>5</v>
      </c>
      <c r="G5" s="288">
        <v>6</v>
      </c>
      <c r="H5" s="288">
        <v>7</v>
      </c>
      <c r="I5" s="288">
        <v>8</v>
      </c>
      <c r="J5" s="288">
        <v>9</v>
      </c>
      <c r="K5" s="288">
        <v>10</v>
      </c>
      <c r="L5" s="288">
        <v>11</v>
      </c>
      <c r="M5" s="288">
        <v>12</v>
      </c>
      <c r="N5" s="288">
        <v>13</v>
      </c>
      <c r="O5" s="288">
        <v>14</v>
      </c>
      <c r="P5" s="288">
        <v>15</v>
      </c>
      <c r="Q5" s="288">
        <v>16</v>
      </c>
      <c r="R5" s="288">
        <v>17</v>
      </c>
      <c r="S5" s="288">
        <v>18</v>
      </c>
    </row>
    <row r="6" spans="1:20" s="291" customFormat="1" ht="15.75" x14ac:dyDescent="0.25">
      <c r="A6" s="289"/>
      <c r="B6" s="302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90"/>
      <c r="O6" s="289"/>
      <c r="P6" s="289"/>
      <c r="Q6" s="290"/>
      <c r="R6" s="289"/>
      <c r="S6" s="289"/>
    </row>
    <row r="7" spans="1:20" s="127" customFormat="1" ht="15.75" x14ac:dyDescent="0.25">
      <c r="A7" s="214" t="s">
        <v>619</v>
      </c>
      <c r="B7" s="288" t="s">
        <v>548</v>
      </c>
      <c r="C7" s="214" t="s">
        <v>560</v>
      </c>
      <c r="D7" s="292">
        <v>6.9</v>
      </c>
      <c r="E7" s="292">
        <v>0</v>
      </c>
      <c r="F7" s="293">
        <v>0</v>
      </c>
      <c r="G7" s="292">
        <v>95</v>
      </c>
      <c r="H7" s="292">
        <v>249</v>
      </c>
      <c r="I7" s="292">
        <f>G7*H7</f>
        <v>23655</v>
      </c>
      <c r="J7" s="292"/>
      <c r="K7" s="292"/>
      <c r="L7" s="292">
        <f t="shared" ref="L7:L13" si="0">J7*K7</f>
        <v>0</v>
      </c>
      <c r="M7" s="299">
        <f>D7*I7/100</f>
        <v>1632.1949999999999</v>
      </c>
      <c r="N7" s="293">
        <v>25</v>
      </c>
      <c r="O7" s="299">
        <f>M7*N7/1000</f>
        <v>40.804875000000003</v>
      </c>
      <c r="P7" s="292">
        <v>0</v>
      </c>
      <c r="Q7" s="293">
        <v>0</v>
      </c>
      <c r="R7" s="292">
        <f>P7*Q7/1000</f>
        <v>0</v>
      </c>
      <c r="S7" s="292">
        <f>ROUND(O7+R7,1)</f>
        <v>40.799999999999997</v>
      </c>
    </row>
    <row r="8" spans="1:20" s="127" customFormat="1" ht="15.75" x14ac:dyDescent="0.25">
      <c r="A8" s="214" t="s">
        <v>541</v>
      </c>
      <c r="B8" s="288" t="s">
        <v>548</v>
      </c>
      <c r="C8" s="214" t="s">
        <v>188</v>
      </c>
      <c r="D8" s="292"/>
      <c r="E8" s="292"/>
      <c r="F8" s="293"/>
      <c r="G8" s="299"/>
      <c r="H8" s="299"/>
      <c r="I8" s="299">
        <f t="shared" ref="I8:I13" si="1">G8*H8</f>
        <v>0</v>
      </c>
      <c r="J8" s="299">
        <v>0</v>
      </c>
      <c r="K8" s="299">
        <v>250</v>
      </c>
      <c r="L8" s="299">
        <f t="shared" si="0"/>
        <v>0</v>
      </c>
      <c r="M8" s="299">
        <f>D8*I8/100+E8*L8</f>
        <v>0</v>
      </c>
      <c r="N8" s="293"/>
      <c r="O8" s="299">
        <f>M8*N8/1000</f>
        <v>0</v>
      </c>
      <c r="P8" s="299">
        <f>M8*F8/100</f>
        <v>0</v>
      </c>
      <c r="Q8" s="293"/>
      <c r="R8" s="292">
        <f t="shared" ref="R8:R12" si="2">P8*Q8/1000</f>
        <v>0</v>
      </c>
      <c r="S8" s="292">
        <f t="shared" ref="S8:S13" si="3">ROUND(O8+R8,1)</f>
        <v>0</v>
      </c>
    </row>
    <row r="9" spans="1:20" s="127" customFormat="1" ht="15.75" x14ac:dyDescent="0.25">
      <c r="A9" s="214" t="s">
        <v>542</v>
      </c>
      <c r="B9" s="288" t="s">
        <v>548</v>
      </c>
      <c r="C9" s="214" t="s">
        <v>188</v>
      </c>
      <c r="D9" s="292"/>
      <c r="E9" s="292"/>
      <c r="F9" s="293"/>
      <c r="G9" s="299"/>
      <c r="H9" s="299"/>
      <c r="I9" s="299">
        <f>G9*H9</f>
        <v>0</v>
      </c>
      <c r="J9" s="299">
        <v>0</v>
      </c>
      <c r="K9" s="299">
        <v>250</v>
      </c>
      <c r="L9" s="299">
        <f>J9*K9</f>
        <v>0</v>
      </c>
      <c r="M9" s="299">
        <f>D9*I9/100+E9*L9</f>
        <v>0</v>
      </c>
      <c r="N9" s="293"/>
      <c r="O9" s="299">
        <f t="shared" ref="O9:O12" si="4">M9*N9/1000</f>
        <v>0</v>
      </c>
      <c r="P9" s="299">
        <f>M9*F9/100</f>
        <v>0</v>
      </c>
      <c r="Q9" s="293"/>
      <c r="R9" s="292">
        <f t="shared" si="2"/>
        <v>0</v>
      </c>
      <c r="S9" s="292">
        <f t="shared" si="3"/>
        <v>0</v>
      </c>
    </row>
    <row r="10" spans="1:20" s="127" customFormat="1" ht="15.75" x14ac:dyDescent="0.25">
      <c r="A10" s="214" t="s">
        <v>543</v>
      </c>
      <c r="B10" s="288" t="s">
        <v>548</v>
      </c>
      <c r="C10" s="214" t="s">
        <v>560</v>
      </c>
      <c r="D10" s="292"/>
      <c r="E10" s="292"/>
      <c r="F10" s="293"/>
      <c r="G10" s="292"/>
      <c r="H10" s="292"/>
      <c r="I10" s="292">
        <f t="shared" si="1"/>
        <v>0</v>
      </c>
      <c r="J10" s="292">
        <v>0</v>
      </c>
      <c r="K10" s="292">
        <v>250</v>
      </c>
      <c r="L10" s="292">
        <f t="shared" si="0"/>
        <v>0</v>
      </c>
      <c r="M10" s="299">
        <f t="shared" ref="M10:M13" si="5">D10*I10/100+E10*L10</f>
        <v>0</v>
      </c>
      <c r="N10" s="293"/>
      <c r="O10" s="299">
        <f t="shared" si="4"/>
        <v>0</v>
      </c>
      <c r="P10" s="292">
        <f>M10*F10/100</f>
        <v>0</v>
      </c>
      <c r="Q10" s="293"/>
      <c r="R10" s="292">
        <f t="shared" si="2"/>
        <v>0</v>
      </c>
      <c r="S10" s="292">
        <f t="shared" si="3"/>
        <v>0</v>
      </c>
    </row>
    <row r="11" spans="1:20" s="127" customFormat="1" ht="15.75" x14ac:dyDescent="0.25">
      <c r="A11" s="214" t="s">
        <v>544</v>
      </c>
      <c r="B11" s="288" t="s">
        <v>548</v>
      </c>
      <c r="C11" s="214" t="s">
        <v>560</v>
      </c>
      <c r="D11" s="292"/>
      <c r="E11" s="292"/>
      <c r="F11" s="293"/>
      <c r="G11" s="292"/>
      <c r="H11" s="292"/>
      <c r="I11" s="292">
        <f t="shared" si="1"/>
        <v>0</v>
      </c>
      <c r="J11" s="292">
        <v>0</v>
      </c>
      <c r="K11" s="292">
        <v>250</v>
      </c>
      <c r="L11" s="292">
        <f t="shared" si="0"/>
        <v>0</v>
      </c>
      <c r="M11" s="299">
        <f t="shared" si="5"/>
        <v>0</v>
      </c>
      <c r="N11" s="293"/>
      <c r="O11" s="299">
        <f t="shared" si="4"/>
        <v>0</v>
      </c>
      <c r="P11" s="292">
        <f>M11*F11/100</f>
        <v>0</v>
      </c>
      <c r="Q11" s="293"/>
      <c r="R11" s="292">
        <f t="shared" si="2"/>
        <v>0</v>
      </c>
      <c r="S11" s="292">
        <f t="shared" si="3"/>
        <v>0</v>
      </c>
    </row>
    <row r="12" spans="1:20" s="127" customFormat="1" ht="15.75" x14ac:dyDescent="0.25">
      <c r="A12" s="214" t="s">
        <v>545</v>
      </c>
      <c r="B12" s="288" t="s">
        <v>548</v>
      </c>
      <c r="C12" s="214" t="s">
        <v>560</v>
      </c>
      <c r="D12" s="292"/>
      <c r="E12" s="292"/>
      <c r="F12" s="293"/>
      <c r="G12" s="292"/>
      <c r="H12" s="292"/>
      <c r="I12" s="292">
        <f t="shared" si="1"/>
        <v>0</v>
      </c>
      <c r="J12" s="292">
        <v>0</v>
      </c>
      <c r="K12" s="292">
        <v>250</v>
      </c>
      <c r="L12" s="292">
        <f t="shared" si="0"/>
        <v>0</v>
      </c>
      <c r="M12" s="299">
        <f t="shared" si="5"/>
        <v>0</v>
      </c>
      <c r="N12" s="293"/>
      <c r="O12" s="299">
        <f t="shared" si="4"/>
        <v>0</v>
      </c>
      <c r="P12" s="292">
        <f>F12*M12/100</f>
        <v>0</v>
      </c>
      <c r="Q12" s="293"/>
      <c r="R12" s="292">
        <f t="shared" si="2"/>
        <v>0</v>
      </c>
      <c r="S12" s="292">
        <f t="shared" si="3"/>
        <v>0</v>
      </c>
    </row>
    <row r="13" spans="1:20" s="127" customFormat="1" ht="15.75" x14ac:dyDescent="0.25">
      <c r="A13" s="214" t="s">
        <v>546</v>
      </c>
      <c r="B13" s="288" t="s">
        <v>548</v>
      </c>
      <c r="C13" s="214" t="s">
        <v>560</v>
      </c>
      <c r="D13" s="292"/>
      <c r="E13" s="292"/>
      <c r="F13" s="293"/>
      <c r="G13" s="292"/>
      <c r="H13" s="292"/>
      <c r="I13" s="292">
        <f t="shared" si="1"/>
        <v>0</v>
      </c>
      <c r="J13" s="292">
        <v>0</v>
      </c>
      <c r="K13" s="292">
        <v>250</v>
      </c>
      <c r="L13" s="292">
        <f t="shared" si="0"/>
        <v>0</v>
      </c>
      <c r="M13" s="299">
        <f t="shared" si="5"/>
        <v>0</v>
      </c>
      <c r="N13" s="293"/>
      <c r="O13" s="299">
        <f t="shared" ref="O13" si="6">M13*N13/1000</f>
        <v>0</v>
      </c>
      <c r="P13" s="292">
        <f>F13*M13/100</f>
        <v>0</v>
      </c>
      <c r="Q13" s="293"/>
      <c r="R13" s="292">
        <f t="shared" ref="R13" si="7">P13*Q13/1000</f>
        <v>0</v>
      </c>
      <c r="S13" s="292">
        <f t="shared" si="3"/>
        <v>0</v>
      </c>
    </row>
    <row r="14" spans="1:20" s="136" customFormat="1" ht="15.75" x14ac:dyDescent="0.25">
      <c r="A14" s="294"/>
      <c r="B14" s="303"/>
      <c r="C14" s="212"/>
      <c r="D14" s="295"/>
      <c r="E14" s="295"/>
      <c r="F14" s="297"/>
      <c r="G14" s="295"/>
      <c r="H14" s="295"/>
      <c r="I14" s="295">
        <f>SUM(I7:I13)</f>
        <v>23655</v>
      </c>
      <c r="J14" s="295"/>
      <c r="K14" s="295"/>
      <c r="L14" s="295">
        <f>SUM(L7:L13)</f>
        <v>0</v>
      </c>
      <c r="M14" s="300">
        <f>SUM(M7:M13)</f>
        <v>1632.1949999999999</v>
      </c>
      <c r="N14" s="296"/>
      <c r="O14" s="300">
        <f>SUM(O7:O13)</f>
        <v>40.804875000000003</v>
      </c>
      <c r="P14" s="295">
        <f>SUM(P7:P13)</f>
        <v>0</v>
      </c>
      <c r="Q14" s="293"/>
      <c r="R14" s="295">
        <f>SUM(R7:R13)</f>
        <v>0</v>
      </c>
      <c r="S14" s="295">
        <f>SUM(S7:S13)</f>
        <v>40.799999999999997</v>
      </c>
    </row>
    <row r="15" spans="1:20" s="136" customFormat="1" ht="15.75" x14ac:dyDescent="0.25">
      <c r="A15" s="301"/>
      <c r="B15" s="304"/>
      <c r="C15" s="212"/>
      <c r="D15" s="295"/>
      <c r="E15" s="295"/>
      <c r="F15" s="26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</row>
    <row r="16" spans="1:20" s="136" customFormat="1" ht="15.75" x14ac:dyDescent="0.25">
      <c r="A16" s="294"/>
      <c r="B16" s="303"/>
      <c r="C16" s="212"/>
      <c r="D16" s="295"/>
      <c r="E16" s="295"/>
      <c r="F16" s="265"/>
      <c r="G16" s="295"/>
      <c r="H16" s="295"/>
      <c r="I16" s="295"/>
      <c r="J16" s="295"/>
      <c r="K16" s="295"/>
      <c r="L16" s="295"/>
      <c r="M16" s="295"/>
      <c r="N16" s="297"/>
      <c r="O16" s="295"/>
      <c r="P16" s="295"/>
      <c r="Q16" s="297"/>
      <c r="R16" s="295"/>
      <c r="S16" s="295"/>
    </row>
    <row r="17" spans="1:19" x14ac:dyDescent="0.25">
      <c r="S17" s="25" t="s">
        <v>626</v>
      </c>
    </row>
    <row r="19" spans="1:19" hidden="1" x14ac:dyDescent="0.25"/>
    <row r="20" spans="1:19" hidden="1" x14ac:dyDescent="0.25">
      <c r="A20" s="307"/>
      <c r="B20" s="308"/>
      <c r="C20" s="502">
        <v>2017</v>
      </c>
      <c r="D20" s="502"/>
      <c r="E20" s="502" t="s">
        <v>555</v>
      </c>
      <c r="F20" s="502"/>
      <c r="M20" s="314"/>
      <c r="S20" s="59"/>
    </row>
    <row r="21" spans="1:19" hidden="1" x14ac:dyDescent="0.25">
      <c r="A21" s="307"/>
      <c r="B21" s="308"/>
      <c r="C21" s="307" t="s">
        <v>556</v>
      </c>
      <c r="D21" s="307" t="s">
        <v>557</v>
      </c>
      <c r="E21" s="307" t="s">
        <v>556</v>
      </c>
      <c r="F21" s="307" t="s">
        <v>557</v>
      </c>
      <c r="M21" s="314"/>
      <c r="S21" s="59"/>
    </row>
    <row r="22" spans="1:19" hidden="1" x14ac:dyDescent="0.25">
      <c r="A22" s="500" t="s">
        <v>549</v>
      </c>
      <c r="B22" s="309" t="s">
        <v>552</v>
      </c>
      <c r="C22" s="310">
        <v>35619.85</v>
      </c>
      <c r="D22" s="310">
        <v>35483.839999999997</v>
      </c>
      <c r="E22" s="310">
        <v>7755.83</v>
      </c>
      <c r="F22" s="310">
        <v>7751.56</v>
      </c>
    </row>
    <row r="23" spans="1:19" s="306" customFormat="1" hidden="1" x14ac:dyDescent="0.25">
      <c r="A23" s="500"/>
      <c r="B23" s="311" t="s">
        <v>554</v>
      </c>
      <c r="C23" s="312">
        <f t="shared" ref="C23:D23" si="8">C22/C24</f>
        <v>21.987507438253239</v>
      </c>
      <c r="D23" s="312">
        <f t="shared" si="8"/>
        <v>21.977201430717059</v>
      </c>
      <c r="E23" s="312">
        <f>E22/E24</f>
        <v>25.852766666666668</v>
      </c>
      <c r="F23" s="312">
        <f>F22/F24</f>
        <v>25.838533333333334</v>
      </c>
    </row>
    <row r="24" spans="1:19" hidden="1" x14ac:dyDescent="0.25">
      <c r="A24" s="501"/>
      <c r="B24" s="309" t="s">
        <v>553</v>
      </c>
      <c r="C24" s="310">
        <v>1620.0039999999999</v>
      </c>
      <c r="D24" s="310">
        <v>1614.575</v>
      </c>
      <c r="E24" s="310">
        <v>300</v>
      </c>
      <c r="F24" s="310">
        <v>300</v>
      </c>
    </row>
    <row r="25" spans="1:19" hidden="1" x14ac:dyDescent="0.25">
      <c r="A25" s="500" t="s">
        <v>550</v>
      </c>
      <c r="B25" s="309" t="s">
        <v>552</v>
      </c>
      <c r="C25" s="310">
        <v>206753.11</v>
      </c>
      <c r="D25" s="310">
        <v>206781.68</v>
      </c>
      <c r="E25" s="310">
        <v>48133.67</v>
      </c>
      <c r="F25" s="310">
        <v>48216.26</v>
      </c>
    </row>
    <row r="26" spans="1:19" s="306" customFormat="1" hidden="1" x14ac:dyDescent="0.25">
      <c r="A26" s="500"/>
      <c r="B26" s="311" t="s">
        <v>554</v>
      </c>
      <c r="C26" s="312">
        <f t="shared" ref="C26:D26" si="9">C25/C27</f>
        <v>20.410130340537531</v>
      </c>
      <c r="D26" s="312">
        <f t="shared" si="9"/>
        <v>20.407765112262521</v>
      </c>
      <c r="E26" s="312">
        <f>E25/E27</f>
        <v>24.557994897959183</v>
      </c>
      <c r="F26" s="312">
        <f>F25/F27</f>
        <v>24.555031574658791</v>
      </c>
    </row>
    <row r="27" spans="1:19" hidden="1" x14ac:dyDescent="0.25">
      <c r="A27" s="500"/>
      <c r="B27" s="309" t="s">
        <v>553</v>
      </c>
      <c r="C27" s="310">
        <v>10129.925999999999</v>
      </c>
      <c r="D27" s="310">
        <v>10132.5</v>
      </c>
      <c r="E27" s="310">
        <v>1960</v>
      </c>
      <c r="F27" s="310">
        <v>1963.6</v>
      </c>
    </row>
    <row r="28" spans="1:19" hidden="1" x14ac:dyDescent="0.25">
      <c r="A28" s="500" t="s">
        <v>551</v>
      </c>
      <c r="B28" s="309" t="s">
        <v>552</v>
      </c>
      <c r="C28" s="310">
        <v>18997.55</v>
      </c>
      <c r="D28" s="310">
        <v>18929.990000000002</v>
      </c>
      <c r="E28" s="310">
        <v>4717.5</v>
      </c>
      <c r="F28" s="310">
        <v>4642.47</v>
      </c>
    </row>
    <row r="29" spans="1:19" s="306" customFormat="1" hidden="1" x14ac:dyDescent="0.25">
      <c r="A29" s="500"/>
      <c r="B29" s="311" t="s">
        <v>554</v>
      </c>
      <c r="C29" s="312">
        <f t="shared" ref="C29:D29" si="10">C28/C30</f>
        <v>11.980695979012157</v>
      </c>
      <c r="D29" s="312">
        <f t="shared" si="10"/>
        <v>11.977973930650469</v>
      </c>
      <c r="E29" s="312">
        <f>E28/E30</f>
        <v>13.577102400276292</v>
      </c>
      <c r="F29" s="312">
        <f>F28/F30</f>
        <v>13.574473684210528</v>
      </c>
    </row>
    <row r="30" spans="1:19" hidden="1" x14ac:dyDescent="0.25">
      <c r="A30" s="500"/>
      <c r="B30" s="309" t="s">
        <v>553</v>
      </c>
      <c r="C30" s="310">
        <v>1585.68</v>
      </c>
      <c r="D30" s="310">
        <v>1580.4</v>
      </c>
      <c r="E30" s="310">
        <v>347.46</v>
      </c>
      <c r="F30" s="310">
        <v>342</v>
      </c>
      <c r="I30" s="313"/>
    </row>
    <row r="31" spans="1:19" hidden="1" x14ac:dyDescent="0.25"/>
  </sheetData>
  <mergeCells count="14">
    <mergeCell ref="A1:S1"/>
    <mergeCell ref="A3:A4"/>
    <mergeCell ref="C3:C4"/>
    <mergeCell ref="D3:F3"/>
    <mergeCell ref="G3:I3"/>
    <mergeCell ref="J3:L3"/>
    <mergeCell ref="M3:R3"/>
    <mergeCell ref="S3:S4"/>
    <mergeCell ref="B3:B4"/>
    <mergeCell ref="A22:A24"/>
    <mergeCell ref="A25:A27"/>
    <mergeCell ref="A28:A30"/>
    <mergeCell ref="E20:F20"/>
    <mergeCell ref="C20:D2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J18" sqref="J18"/>
    </sheetView>
  </sheetViews>
  <sheetFormatPr defaultRowHeight="15" x14ac:dyDescent="0.25"/>
  <cols>
    <col min="1" max="1" width="4.5703125" style="25" bestFit="1" customWidth="1"/>
    <col min="2" max="2" width="31.42578125" style="320" customWidth="1"/>
    <col min="3" max="3" width="11.140625" style="321" customWidth="1"/>
    <col min="4" max="4" width="14.5703125" style="322" customWidth="1"/>
    <col min="5" max="5" width="10.42578125" style="322" bestFit="1" customWidth="1"/>
    <col min="6" max="6" width="14.28515625" style="394" customWidth="1"/>
    <col min="7" max="7" width="9.140625" style="25"/>
    <col min="8" max="8" width="4.140625" style="25" customWidth="1"/>
    <col min="9" max="9" width="9.140625" style="25" customWidth="1"/>
    <col min="10" max="16384" width="9.140625" style="25"/>
  </cols>
  <sheetData>
    <row r="1" spans="1:9" x14ac:dyDescent="0.25">
      <c r="A1" s="507" t="s">
        <v>295</v>
      </c>
      <c r="B1" s="507"/>
      <c r="C1" s="507"/>
      <c r="D1" s="507"/>
      <c r="E1" s="507"/>
      <c r="F1" s="507"/>
    </row>
    <row r="2" spans="1:9" x14ac:dyDescent="0.25">
      <c r="A2" s="507" t="s">
        <v>363</v>
      </c>
      <c r="B2" s="507"/>
      <c r="C2" s="507"/>
      <c r="D2" s="507"/>
      <c r="E2" s="507"/>
      <c r="F2" s="507"/>
    </row>
    <row r="4" spans="1:9" s="323" customFormat="1" ht="45" x14ac:dyDescent="0.25">
      <c r="A4" s="330" t="s">
        <v>292</v>
      </c>
      <c r="B4" s="331" t="s">
        <v>364</v>
      </c>
      <c r="C4" s="332" t="s">
        <v>355</v>
      </c>
      <c r="D4" s="330" t="s">
        <v>660</v>
      </c>
      <c r="E4" s="330" t="s">
        <v>352</v>
      </c>
      <c r="F4" s="330" t="s">
        <v>353</v>
      </c>
    </row>
    <row r="5" spans="1:9" x14ac:dyDescent="0.25">
      <c r="A5" s="324">
        <v>1</v>
      </c>
      <c r="B5" s="325" t="s">
        <v>354</v>
      </c>
      <c r="C5" s="326">
        <v>12</v>
      </c>
      <c r="D5" s="327">
        <v>6</v>
      </c>
      <c r="E5" s="328">
        <v>635</v>
      </c>
      <c r="F5" s="395">
        <f>D5*E5/1000</f>
        <v>3.81</v>
      </c>
      <c r="I5" s="62"/>
    </row>
    <row r="6" spans="1:9" x14ac:dyDescent="0.25">
      <c r="A6" s="324">
        <v>2</v>
      </c>
      <c r="B6" s="325" t="s">
        <v>356</v>
      </c>
      <c r="C6" s="326">
        <v>36</v>
      </c>
      <c r="D6" s="327">
        <v>0</v>
      </c>
      <c r="E6" s="328">
        <v>3300</v>
      </c>
      <c r="F6" s="395">
        <f>D6*E6/1000/3</f>
        <v>0</v>
      </c>
    </row>
    <row r="7" spans="1:9" x14ac:dyDescent="0.25">
      <c r="A7" s="324">
        <v>3</v>
      </c>
      <c r="B7" s="325" t="s">
        <v>357</v>
      </c>
      <c r="C7" s="326">
        <v>24</v>
      </c>
      <c r="D7" s="327">
        <v>5</v>
      </c>
      <c r="E7" s="328">
        <v>700</v>
      </c>
      <c r="F7" s="395">
        <f>D7*E7/1000/2</f>
        <v>1.75</v>
      </c>
    </row>
    <row r="8" spans="1:9" x14ac:dyDescent="0.25">
      <c r="A8" s="324">
        <v>4</v>
      </c>
      <c r="B8" s="325" t="s">
        <v>358</v>
      </c>
      <c r="C8" s="326">
        <v>36</v>
      </c>
      <c r="D8" s="327">
        <v>5</v>
      </c>
      <c r="E8" s="328">
        <v>550</v>
      </c>
      <c r="F8" s="395">
        <f>D8*E8/1000/3</f>
        <v>0.91666666666666663</v>
      </c>
    </row>
    <row r="9" spans="1:9" x14ac:dyDescent="0.25">
      <c r="A9" s="324">
        <v>5</v>
      </c>
      <c r="B9" s="325" t="s">
        <v>359</v>
      </c>
      <c r="C9" s="326">
        <v>24</v>
      </c>
      <c r="D9" s="327">
        <v>5</v>
      </c>
      <c r="E9" s="328">
        <v>450</v>
      </c>
      <c r="F9" s="395">
        <f>D9*E9/1000/2</f>
        <v>1.125</v>
      </c>
    </row>
    <row r="10" spans="1:9" x14ac:dyDescent="0.25">
      <c r="A10" s="324">
        <v>6</v>
      </c>
      <c r="B10" s="325" t="s">
        <v>623</v>
      </c>
      <c r="C10" s="326">
        <v>12</v>
      </c>
      <c r="D10" s="327">
        <v>5</v>
      </c>
      <c r="E10" s="328">
        <v>195</v>
      </c>
      <c r="F10" s="395">
        <f>D10*E10/1000</f>
        <v>0.97499999999999998</v>
      </c>
    </row>
    <row r="11" spans="1:9" x14ac:dyDescent="0.25">
      <c r="A11" s="324">
        <v>7</v>
      </c>
      <c r="B11" s="320" t="s">
        <v>625</v>
      </c>
      <c r="C11" s="326">
        <v>12</v>
      </c>
      <c r="D11" s="327">
        <v>5</v>
      </c>
      <c r="E11" s="328">
        <v>91</v>
      </c>
      <c r="F11" s="395">
        <f>D11*E11/1000</f>
        <v>0.45500000000000002</v>
      </c>
    </row>
    <row r="12" spans="1:9" x14ac:dyDescent="0.25">
      <c r="A12" s="324">
        <v>8</v>
      </c>
      <c r="B12" s="325" t="s">
        <v>624</v>
      </c>
      <c r="C12" s="326">
        <v>36</v>
      </c>
      <c r="D12" s="327">
        <v>5</v>
      </c>
      <c r="E12" s="328">
        <v>100</v>
      </c>
      <c r="F12" s="395">
        <f>D12*E12/1000/3</f>
        <v>0.16666666666666666</v>
      </c>
    </row>
    <row r="13" spans="1:9" x14ac:dyDescent="0.25">
      <c r="A13" s="324">
        <v>9</v>
      </c>
      <c r="B13" s="320" t="s">
        <v>622</v>
      </c>
      <c r="C13" s="326">
        <v>12</v>
      </c>
      <c r="D13" s="327">
        <v>6</v>
      </c>
      <c r="E13" s="328">
        <v>100</v>
      </c>
      <c r="F13" s="395">
        <f>D13*E13/1000</f>
        <v>0.6</v>
      </c>
    </row>
    <row r="14" spans="1:9" x14ac:dyDescent="0.25">
      <c r="A14" s="324">
        <v>10</v>
      </c>
      <c r="B14" s="325" t="s">
        <v>360</v>
      </c>
      <c r="C14" s="326">
        <v>36</v>
      </c>
      <c r="D14" s="327">
        <v>5</v>
      </c>
      <c r="E14" s="328">
        <v>375</v>
      </c>
      <c r="F14" s="395">
        <f>D14*E14/1000/3</f>
        <v>0.625</v>
      </c>
    </row>
    <row r="15" spans="1:9" x14ac:dyDescent="0.25">
      <c r="A15" s="324">
        <v>11</v>
      </c>
      <c r="B15" s="325" t="s">
        <v>361</v>
      </c>
      <c r="C15" s="326">
        <v>1</v>
      </c>
      <c r="D15" s="327">
        <f>12*5</f>
        <v>60</v>
      </c>
      <c r="E15" s="328">
        <v>16</v>
      </c>
      <c r="F15" s="395">
        <f t="shared" ref="F15" si="0">D15*E15/1000</f>
        <v>0.96</v>
      </c>
    </row>
    <row r="16" spans="1:9" s="3" customFormat="1" ht="19.5" customHeight="1" x14ac:dyDescent="0.25">
      <c r="A16" s="504" t="s">
        <v>362</v>
      </c>
      <c r="B16" s="505"/>
      <c r="C16" s="505"/>
      <c r="D16" s="505"/>
      <c r="E16" s="506"/>
      <c r="F16" s="396">
        <f>ROUND(SUM(F5:F15),2)</f>
        <v>11.38</v>
      </c>
    </row>
    <row r="17" spans="1:6" x14ac:dyDescent="0.25">
      <c r="F17" s="393" t="s">
        <v>626</v>
      </c>
    </row>
    <row r="19" spans="1:6" x14ac:dyDescent="0.25">
      <c r="A19" s="329" t="s">
        <v>290</v>
      </c>
    </row>
  </sheetData>
  <mergeCells count="3">
    <mergeCell ref="A16:E16"/>
    <mergeCell ref="A2:F2"/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89" zoomScaleNormal="89" workbookViewId="0">
      <pane ySplit="8" topLeftCell="A41" activePane="bottomLeft" state="frozenSplit"/>
      <selection pane="bottomLeft" activeCell="M8" sqref="M8"/>
    </sheetView>
  </sheetViews>
  <sheetFormatPr defaultRowHeight="15.75" x14ac:dyDescent="0.25"/>
  <cols>
    <col min="1" max="1" width="6.5703125" style="127" customWidth="1"/>
    <col min="2" max="2" width="44.42578125" style="127" customWidth="1"/>
    <col min="3" max="3" width="8.28515625" style="127" customWidth="1"/>
    <col min="4" max="4" width="9.140625" style="127"/>
    <col min="5" max="5" width="10.42578125" style="127" customWidth="1"/>
    <col min="6" max="7" width="9.140625" style="127"/>
    <col min="8" max="8" width="14.5703125" style="127" customWidth="1"/>
    <col min="9" max="9" width="11.140625" style="126" customWidth="1"/>
    <col min="10" max="10" width="9.140625" style="127"/>
    <col min="11" max="11" width="9.140625" style="392"/>
    <col min="12" max="12" width="29.85546875" style="363" customWidth="1"/>
    <col min="13" max="13" width="17.5703125" style="364" customWidth="1"/>
    <col min="14" max="14" width="13.85546875" style="363" customWidth="1"/>
    <col min="15" max="16384" width="9.140625" style="127"/>
  </cols>
  <sheetData>
    <row r="1" spans="1:14" s="20" customFormat="1" ht="20.25" customHeight="1" x14ac:dyDescent="0.3">
      <c r="A1" s="449" t="s">
        <v>241</v>
      </c>
      <c r="B1" s="449"/>
      <c r="C1" s="449"/>
      <c r="D1" s="449"/>
      <c r="E1" s="449"/>
      <c r="F1" s="449"/>
      <c r="G1" s="449"/>
      <c r="H1" s="449"/>
      <c r="I1" s="449"/>
      <c r="J1" s="449"/>
      <c r="K1" s="399"/>
      <c r="L1" s="361"/>
      <c r="M1" s="362"/>
      <c r="N1" s="361"/>
    </row>
    <row r="2" spans="1:14" s="20" customFormat="1" ht="46.5" customHeight="1" x14ac:dyDescent="0.3">
      <c r="A2" s="495" t="s">
        <v>429</v>
      </c>
      <c r="B2" s="495"/>
      <c r="C2" s="495"/>
      <c r="D2" s="495"/>
      <c r="E2" s="495"/>
      <c r="F2" s="495"/>
      <c r="G2" s="495"/>
      <c r="H2" s="495"/>
      <c r="I2" s="495"/>
      <c r="J2" s="495"/>
      <c r="K2" s="399"/>
      <c r="L2" s="361"/>
      <c r="M2" s="362"/>
      <c r="N2" s="361"/>
    </row>
    <row r="3" spans="1:14" x14ac:dyDescent="0.25">
      <c r="D3" s="373">
        <f>D8-D9-D10</f>
        <v>44.131999999999998</v>
      </c>
      <c r="E3" s="373">
        <f t="shared" ref="E3" si="0">E8-E9-E10</f>
        <v>44.131999999999998</v>
      </c>
      <c r="F3" s="373">
        <f>F8-F9-F10</f>
        <v>0</v>
      </c>
    </row>
    <row r="4" spans="1:14" ht="33.75" customHeight="1" x14ac:dyDescent="0.25">
      <c r="A4" s="498" t="s">
        <v>447</v>
      </c>
      <c r="B4" s="488" t="s">
        <v>242</v>
      </c>
      <c r="C4" s="499" t="s">
        <v>32</v>
      </c>
      <c r="D4" s="488" t="s">
        <v>643</v>
      </c>
      <c r="E4" s="488"/>
      <c r="F4" s="488"/>
      <c r="G4" s="488" t="s">
        <v>644</v>
      </c>
      <c r="H4" s="488"/>
      <c r="I4" s="488"/>
      <c r="J4" s="488"/>
      <c r="M4" s="365"/>
    </row>
    <row r="5" spans="1:14" ht="15" customHeight="1" x14ac:dyDescent="0.25">
      <c r="A5" s="498"/>
      <c r="B5" s="488"/>
      <c r="C5" s="499"/>
      <c r="D5" s="488" t="s">
        <v>165</v>
      </c>
      <c r="E5" s="488" t="s">
        <v>449</v>
      </c>
      <c r="F5" s="488"/>
      <c r="G5" s="488" t="s">
        <v>165</v>
      </c>
      <c r="H5" s="488" t="s">
        <v>449</v>
      </c>
      <c r="I5" s="488"/>
      <c r="J5" s="488"/>
      <c r="M5" s="365"/>
    </row>
    <row r="6" spans="1:14" ht="63" x14ac:dyDescent="0.25">
      <c r="A6" s="498"/>
      <c r="B6" s="488"/>
      <c r="C6" s="499"/>
      <c r="D6" s="488"/>
      <c r="E6" s="246" t="s">
        <v>450</v>
      </c>
      <c r="F6" s="298" t="s">
        <v>559</v>
      </c>
      <c r="G6" s="488"/>
      <c r="H6" s="246" t="s">
        <v>444</v>
      </c>
      <c r="I6" s="339" t="s">
        <v>450</v>
      </c>
      <c r="J6" s="298" t="s">
        <v>559</v>
      </c>
      <c r="M6" s="366"/>
      <c r="N6" s="367"/>
    </row>
    <row r="7" spans="1:14" x14ac:dyDescent="0.25">
      <c r="A7" s="252" t="s">
        <v>33</v>
      </c>
      <c r="B7" s="253" t="s">
        <v>34</v>
      </c>
      <c r="C7" s="254" t="s">
        <v>35</v>
      </c>
      <c r="D7" s="253">
        <v>1</v>
      </c>
      <c r="E7" s="253">
        <v>2</v>
      </c>
      <c r="F7" s="253">
        <v>3</v>
      </c>
      <c r="G7" s="253">
        <v>4</v>
      </c>
      <c r="H7" s="253">
        <v>5</v>
      </c>
      <c r="I7" s="340">
        <v>6</v>
      </c>
      <c r="J7" s="253">
        <v>7</v>
      </c>
      <c r="M7" s="368"/>
      <c r="N7" s="369"/>
    </row>
    <row r="8" spans="1:14" s="136" customFormat="1" ht="31.5" customHeight="1" x14ac:dyDescent="0.25">
      <c r="A8" s="255"/>
      <c r="B8" s="256" t="s">
        <v>493</v>
      </c>
      <c r="C8" s="257" t="s">
        <v>116</v>
      </c>
      <c r="D8" s="258">
        <f>D9+D10+D11+D12+D13+D14+D15+D16+D17+D27+D34+D38+D39+D40+D41+D46</f>
        <v>342.423</v>
      </c>
      <c r="E8" s="258">
        <f t="shared" ref="E8:J8" si="1">E9+E10+E11+E12+E13+E14+E15+E16+E17+E27+E34+E38+E39+E40+E41+E46</f>
        <v>342.423</v>
      </c>
      <c r="F8" s="258">
        <f t="shared" si="1"/>
        <v>0</v>
      </c>
      <c r="G8" s="258">
        <f>G9+G10+G11+G12+G13+G14+G15+G16+G17+G27+G34+G38+G39+G40+G41+G46</f>
        <v>424.40999999999997</v>
      </c>
      <c r="H8" s="258"/>
      <c r="I8" s="258">
        <f>I9+I10+I11+I12+I13+I14+I15+I16+I17+I27+I34+I38+I39+I40+I41+I46</f>
        <v>424.38</v>
      </c>
      <c r="J8" s="258">
        <f t="shared" si="1"/>
        <v>0</v>
      </c>
      <c r="K8" s="400"/>
      <c r="L8" s="285">
        <f>G8/D8-1</f>
        <v>0.23943193068222635</v>
      </c>
      <c r="M8" s="370">
        <f>D8-E8-F8</f>
        <v>0</v>
      </c>
      <c r="N8" s="371"/>
    </row>
    <row r="9" spans="1:14" ht="47.25" x14ac:dyDescent="0.25">
      <c r="A9" s="260" t="s">
        <v>282</v>
      </c>
      <c r="B9" s="261" t="s">
        <v>243</v>
      </c>
      <c r="C9" s="252" t="s">
        <v>117</v>
      </c>
      <c r="D9" s="342">
        <f>E9</f>
        <v>244.501</v>
      </c>
      <c r="E9" s="342">
        <v>244.501</v>
      </c>
      <c r="F9" s="262"/>
      <c r="G9" s="342">
        <f>ФОТ!G10</f>
        <v>309.86</v>
      </c>
      <c r="H9" s="259">
        <f>I9/G9</f>
        <v>1</v>
      </c>
      <c r="I9" s="342">
        <f>ФОТ!I10</f>
        <v>309.86</v>
      </c>
      <c r="J9" s="262"/>
      <c r="L9" s="372"/>
      <c r="M9" s="370">
        <f t="shared" ref="M9:M49" si="2">D9-E9-F9</f>
        <v>0</v>
      </c>
      <c r="N9" s="369"/>
    </row>
    <row r="10" spans="1:14" ht="47.25" x14ac:dyDescent="0.25">
      <c r="A10" s="260" t="s">
        <v>319</v>
      </c>
      <c r="B10" s="261" t="s">
        <v>244</v>
      </c>
      <c r="C10" s="252" t="s">
        <v>118</v>
      </c>
      <c r="D10" s="342">
        <f>E10</f>
        <v>53.79</v>
      </c>
      <c r="E10" s="342">
        <f>ROUND(E9*0.22,2)</f>
        <v>53.79</v>
      </c>
      <c r="F10" s="262"/>
      <c r="G10" s="262">
        <f>ROUND(G9*0.22,1)</f>
        <v>68.2</v>
      </c>
      <c r="H10" s="259">
        <f>I10/G10</f>
        <v>0.99956011730205274</v>
      </c>
      <c r="I10" s="262">
        <f>ROUND(I9*0.22,2)</f>
        <v>68.17</v>
      </c>
      <c r="J10" s="262"/>
      <c r="L10" s="372"/>
      <c r="M10" s="370">
        <f t="shared" si="2"/>
        <v>0</v>
      </c>
      <c r="N10" s="369"/>
    </row>
    <row r="11" spans="1:14" ht="42.75" customHeight="1" x14ac:dyDescent="0.25">
      <c r="A11" s="260" t="s">
        <v>325</v>
      </c>
      <c r="B11" s="261" t="s">
        <v>506</v>
      </c>
      <c r="C11" s="252" t="s">
        <v>119</v>
      </c>
      <c r="D11" s="262">
        <f>E11</f>
        <v>0</v>
      </c>
      <c r="E11" s="262">
        <v>0</v>
      </c>
      <c r="F11" s="262"/>
      <c r="G11" s="262">
        <v>0</v>
      </c>
      <c r="H11" s="259"/>
      <c r="I11" s="342">
        <v>0</v>
      </c>
      <c r="J11" s="262"/>
      <c r="M11" s="370">
        <f t="shared" si="2"/>
        <v>0</v>
      </c>
      <c r="N11" s="369"/>
    </row>
    <row r="12" spans="1:14" ht="31.5" x14ac:dyDescent="0.25">
      <c r="A12" s="260" t="s">
        <v>331</v>
      </c>
      <c r="B12" s="261" t="s">
        <v>245</v>
      </c>
      <c r="C12" s="252" t="s">
        <v>120</v>
      </c>
      <c r="D12" s="262">
        <f t="shared" ref="D12:D13" si="3">E12</f>
        <v>0</v>
      </c>
      <c r="E12" s="262">
        <v>0</v>
      </c>
      <c r="F12" s="262"/>
      <c r="G12" s="262">
        <v>0</v>
      </c>
      <c r="H12" s="259"/>
      <c r="I12" s="342">
        <v>0</v>
      </c>
      <c r="J12" s="262"/>
      <c r="M12" s="370">
        <f t="shared" si="2"/>
        <v>0</v>
      </c>
      <c r="N12" s="369"/>
    </row>
    <row r="13" spans="1:14" ht="31.5" x14ac:dyDescent="0.25">
      <c r="A13" s="260" t="s">
        <v>332</v>
      </c>
      <c r="B13" s="261" t="s">
        <v>246</v>
      </c>
      <c r="C13" s="252" t="s">
        <v>121</v>
      </c>
      <c r="D13" s="262">
        <f t="shared" si="3"/>
        <v>0.2</v>
      </c>
      <c r="E13" s="262">
        <v>0.2</v>
      </c>
      <c r="F13" s="262"/>
      <c r="G13" s="262">
        <v>0.2</v>
      </c>
      <c r="H13" s="259">
        <v>1</v>
      </c>
      <c r="I13" s="342">
        <v>0.2</v>
      </c>
      <c r="J13" s="262"/>
      <c r="M13" s="370">
        <f>D13-E13-F13</f>
        <v>0</v>
      </c>
      <c r="N13" s="369"/>
    </row>
    <row r="14" spans="1:14" ht="31.5" x14ac:dyDescent="0.25">
      <c r="A14" s="260" t="s">
        <v>333</v>
      </c>
      <c r="B14" s="261" t="s">
        <v>247</v>
      </c>
      <c r="C14" s="252" t="s">
        <v>122</v>
      </c>
      <c r="D14" s="262">
        <v>0.16200000000000001</v>
      </c>
      <c r="E14" s="262">
        <v>0.16200000000000001</v>
      </c>
      <c r="F14" s="262"/>
      <c r="G14" s="262">
        <v>0.2</v>
      </c>
      <c r="H14" s="259">
        <v>1</v>
      </c>
      <c r="I14" s="342">
        <v>0.2</v>
      </c>
      <c r="J14" s="262"/>
      <c r="M14" s="370">
        <f t="shared" si="2"/>
        <v>0</v>
      </c>
      <c r="N14" s="369"/>
    </row>
    <row r="15" spans="1:14" ht="31.5" x14ac:dyDescent="0.25">
      <c r="A15" s="260" t="s">
        <v>335</v>
      </c>
      <c r="B15" s="261" t="s">
        <v>248</v>
      </c>
      <c r="C15" s="252" t="s">
        <v>123</v>
      </c>
      <c r="D15" s="262">
        <v>0</v>
      </c>
      <c r="E15" s="262">
        <v>0</v>
      </c>
      <c r="F15" s="262"/>
      <c r="G15" s="262">
        <v>0</v>
      </c>
      <c r="H15" s="259"/>
      <c r="I15" s="342">
        <v>0</v>
      </c>
      <c r="J15" s="262"/>
      <c r="M15" s="370">
        <f t="shared" si="2"/>
        <v>0</v>
      </c>
      <c r="N15" s="369"/>
    </row>
    <row r="16" spans="1:14" ht="94.5" x14ac:dyDescent="0.25">
      <c r="A16" s="260" t="s">
        <v>340</v>
      </c>
      <c r="B16" s="261" t="s">
        <v>494</v>
      </c>
      <c r="C16" s="252" t="s">
        <v>124</v>
      </c>
      <c r="D16" s="262">
        <v>0</v>
      </c>
      <c r="E16" s="262">
        <v>0</v>
      </c>
      <c r="F16" s="262"/>
      <c r="G16" s="262">
        <v>0</v>
      </c>
      <c r="H16" s="259"/>
      <c r="I16" s="342">
        <v>0</v>
      </c>
      <c r="J16" s="262"/>
      <c r="M16" s="370">
        <f t="shared" si="2"/>
        <v>0</v>
      </c>
      <c r="N16" s="369"/>
    </row>
    <row r="17" spans="1:14" ht="63" x14ac:dyDescent="0.25">
      <c r="A17" s="255" t="s">
        <v>376</v>
      </c>
      <c r="B17" s="256" t="s">
        <v>249</v>
      </c>
      <c r="C17" s="257" t="s">
        <v>125</v>
      </c>
      <c r="D17" s="258">
        <f>D18+D19+D20+D21</f>
        <v>0</v>
      </c>
      <c r="E17" s="258">
        <f t="shared" ref="E17:J17" si="4">E18+E19+E20+E21</f>
        <v>0</v>
      </c>
      <c r="F17" s="258">
        <f t="shared" si="4"/>
        <v>0</v>
      </c>
      <c r="G17" s="258">
        <f t="shared" si="4"/>
        <v>0</v>
      </c>
      <c r="H17" s="266"/>
      <c r="I17" s="341">
        <f t="shared" si="4"/>
        <v>0</v>
      </c>
      <c r="J17" s="258">
        <f t="shared" si="4"/>
        <v>0</v>
      </c>
      <c r="M17" s="370">
        <f t="shared" si="2"/>
        <v>0</v>
      </c>
      <c r="N17" s="369"/>
    </row>
    <row r="18" spans="1:14" x14ac:dyDescent="0.25">
      <c r="A18" s="260" t="s">
        <v>66</v>
      </c>
      <c r="B18" s="267" t="s">
        <v>250</v>
      </c>
      <c r="C18" s="252" t="s">
        <v>126</v>
      </c>
      <c r="D18" s="262"/>
      <c r="E18" s="262"/>
      <c r="F18" s="262"/>
      <c r="G18" s="262"/>
      <c r="H18" s="259"/>
      <c r="I18" s="342"/>
      <c r="J18" s="262"/>
      <c r="M18" s="370">
        <f t="shared" si="2"/>
        <v>0</v>
      </c>
      <c r="N18" s="369"/>
    </row>
    <row r="19" spans="1:14" x14ac:dyDescent="0.25">
      <c r="A19" s="260" t="s">
        <v>67</v>
      </c>
      <c r="B19" s="261" t="s">
        <v>251</v>
      </c>
      <c r="C19" s="252" t="s">
        <v>127</v>
      </c>
      <c r="D19" s="262">
        <f>E19</f>
        <v>0</v>
      </c>
      <c r="E19" s="262">
        <v>0</v>
      </c>
      <c r="F19" s="262"/>
      <c r="G19" s="262">
        <v>0</v>
      </c>
      <c r="H19" s="259">
        <f>$H$9</f>
        <v>1</v>
      </c>
      <c r="I19" s="342">
        <f>ROUND(G19*H19,2)</f>
        <v>0</v>
      </c>
      <c r="J19" s="262"/>
      <c r="M19" s="370">
        <f t="shared" si="2"/>
        <v>0</v>
      </c>
      <c r="N19" s="369"/>
    </row>
    <row r="20" spans="1:14" x14ac:dyDescent="0.25">
      <c r="A20" s="260" t="s">
        <v>68</v>
      </c>
      <c r="B20" s="261" t="s">
        <v>252</v>
      </c>
      <c r="C20" s="252" t="s">
        <v>128</v>
      </c>
      <c r="D20" s="262"/>
      <c r="E20" s="262"/>
      <c r="F20" s="262"/>
      <c r="G20" s="262"/>
      <c r="H20" s="259"/>
      <c r="I20" s="342"/>
      <c r="J20" s="262"/>
      <c r="M20" s="370">
        <f t="shared" si="2"/>
        <v>0</v>
      </c>
      <c r="N20" s="369"/>
    </row>
    <row r="21" spans="1:14" ht="31.5" x14ac:dyDescent="0.25">
      <c r="A21" s="260" t="s">
        <v>69</v>
      </c>
      <c r="B21" s="261" t="s">
        <v>253</v>
      </c>
      <c r="C21" s="252" t="s">
        <v>129</v>
      </c>
      <c r="D21" s="262">
        <f>D22+D23+D24+D25+D26</f>
        <v>0</v>
      </c>
      <c r="E21" s="262">
        <f t="shared" ref="E21:I21" si="5">E22+E23+E24+E25+E26</f>
        <v>0</v>
      </c>
      <c r="F21" s="262"/>
      <c r="G21" s="262">
        <f t="shared" si="5"/>
        <v>0</v>
      </c>
      <c r="H21" s="259"/>
      <c r="I21" s="342">
        <f t="shared" si="5"/>
        <v>0</v>
      </c>
      <c r="J21" s="262"/>
      <c r="M21" s="370">
        <f t="shared" si="2"/>
        <v>0</v>
      </c>
      <c r="N21" s="369"/>
    </row>
    <row r="22" spans="1:14" x14ac:dyDescent="0.25">
      <c r="A22" s="260" t="s">
        <v>224</v>
      </c>
      <c r="B22" s="261" t="s">
        <v>180</v>
      </c>
      <c r="C22" s="252" t="s">
        <v>130</v>
      </c>
      <c r="D22" s="262">
        <v>0</v>
      </c>
      <c r="E22" s="262">
        <v>0</v>
      </c>
      <c r="F22" s="262"/>
      <c r="G22" s="262">
        <v>0</v>
      </c>
      <c r="H22" s="259"/>
      <c r="I22" s="342">
        <v>0</v>
      </c>
      <c r="J22" s="262"/>
      <c r="M22" s="370">
        <f t="shared" si="2"/>
        <v>0</v>
      </c>
      <c r="N22" s="369"/>
    </row>
    <row r="23" spans="1:14" x14ac:dyDescent="0.25">
      <c r="A23" s="260" t="s">
        <v>225</v>
      </c>
      <c r="B23" s="261" t="s">
        <v>181</v>
      </c>
      <c r="C23" s="252" t="s">
        <v>131</v>
      </c>
      <c r="D23" s="262">
        <v>0</v>
      </c>
      <c r="E23" s="262">
        <v>0</v>
      </c>
      <c r="F23" s="262"/>
      <c r="G23" s="262">
        <v>0</v>
      </c>
      <c r="H23" s="259"/>
      <c r="I23" s="342">
        <v>0</v>
      </c>
      <c r="J23" s="262"/>
      <c r="M23" s="370">
        <f t="shared" si="2"/>
        <v>0</v>
      </c>
      <c r="N23" s="369"/>
    </row>
    <row r="24" spans="1:14" x14ac:dyDescent="0.25">
      <c r="A24" s="260" t="s">
        <v>263</v>
      </c>
      <c r="B24" s="261" t="s">
        <v>193</v>
      </c>
      <c r="C24" s="252" t="s">
        <v>132</v>
      </c>
      <c r="D24" s="262">
        <v>0</v>
      </c>
      <c r="E24" s="262">
        <v>0</v>
      </c>
      <c r="F24" s="262"/>
      <c r="G24" s="262">
        <v>0</v>
      </c>
      <c r="H24" s="259"/>
      <c r="I24" s="342">
        <v>0</v>
      </c>
      <c r="J24" s="262"/>
      <c r="M24" s="370">
        <f t="shared" si="2"/>
        <v>0</v>
      </c>
      <c r="N24" s="369"/>
    </row>
    <row r="25" spans="1:14" x14ac:dyDescent="0.25">
      <c r="A25" s="260" t="s">
        <v>264</v>
      </c>
      <c r="B25" s="261" t="s">
        <v>192</v>
      </c>
      <c r="C25" s="252" t="s">
        <v>133</v>
      </c>
      <c r="D25" s="262">
        <v>0</v>
      </c>
      <c r="E25" s="262">
        <v>0</v>
      </c>
      <c r="F25" s="262"/>
      <c r="G25" s="262">
        <v>0</v>
      </c>
      <c r="H25" s="259"/>
      <c r="I25" s="342">
        <v>0</v>
      </c>
      <c r="J25" s="262"/>
      <c r="M25" s="370">
        <f t="shared" si="2"/>
        <v>0</v>
      </c>
      <c r="N25" s="369"/>
    </row>
    <row r="26" spans="1:14" x14ac:dyDescent="0.25">
      <c r="A26" s="260" t="s">
        <v>265</v>
      </c>
      <c r="B26" s="261" t="s">
        <v>183</v>
      </c>
      <c r="C26" s="252" t="s">
        <v>134</v>
      </c>
      <c r="D26" s="262">
        <v>0</v>
      </c>
      <c r="E26" s="262">
        <v>0</v>
      </c>
      <c r="F26" s="262"/>
      <c r="G26" s="262">
        <v>0</v>
      </c>
      <c r="H26" s="259"/>
      <c r="I26" s="342">
        <v>0</v>
      </c>
      <c r="J26" s="262"/>
      <c r="M26" s="370">
        <f t="shared" si="2"/>
        <v>0</v>
      </c>
      <c r="N26" s="369"/>
    </row>
    <row r="27" spans="1:14" x14ac:dyDescent="0.25">
      <c r="A27" s="255" t="s">
        <v>343</v>
      </c>
      <c r="B27" s="256" t="s">
        <v>254</v>
      </c>
      <c r="C27" s="257" t="s">
        <v>135</v>
      </c>
      <c r="D27" s="258">
        <f>D28+D29+D30+D31+D32+D33</f>
        <v>25.25</v>
      </c>
      <c r="E27" s="258">
        <f t="shared" ref="E27:F27" si="6">E28+E29+E30+E31+E32+E33</f>
        <v>25.25</v>
      </c>
      <c r="F27" s="258">
        <f t="shared" si="6"/>
        <v>0</v>
      </c>
      <c r="G27" s="258">
        <f>G28+G31+G32+G33+G30</f>
        <v>25.25</v>
      </c>
      <c r="H27" s="266">
        <v>1</v>
      </c>
      <c r="I27" s="258">
        <f>I28+I31+I32+I33+I30</f>
        <v>25.25</v>
      </c>
      <c r="J27" s="258">
        <f t="shared" ref="J27" si="7">J28+J31+J32+J33</f>
        <v>0</v>
      </c>
      <c r="M27" s="370">
        <f t="shared" si="2"/>
        <v>0</v>
      </c>
      <c r="N27" s="369"/>
    </row>
    <row r="28" spans="1:14" x14ac:dyDescent="0.25">
      <c r="A28" s="260" t="s">
        <v>226</v>
      </c>
      <c r="B28" s="261" t="s">
        <v>255</v>
      </c>
      <c r="C28" s="252" t="s">
        <v>136</v>
      </c>
      <c r="D28" s="262"/>
      <c r="E28" s="262"/>
      <c r="F28" s="262"/>
      <c r="G28" s="262"/>
      <c r="H28" s="259"/>
      <c r="I28" s="342"/>
      <c r="J28" s="262"/>
      <c r="M28" s="370">
        <f t="shared" si="2"/>
        <v>0</v>
      </c>
      <c r="N28" s="369"/>
    </row>
    <row r="29" spans="1:14" x14ac:dyDescent="0.25">
      <c r="A29" s="260" t="s">
        <v>227</v>
      </c>
      <c r="B29" s="261" t="s">
        <v>509</v>
      </c>
      <c r="C29" s="252" t="s">
        <v>137</v>
      </c>
      <c r="D29" s="262">
        <f>E29</f>
        <v>0</v>
      </c>
      <c r="E29" s="262">
        <v>0</v>
      </c>
      <c r="F29" s="262"/>
      <c r="G29" s="262">
        <v>0</v>
      </c>
      <c r="H29" s="259"/>
      <c r="I29" s="342">
        <v>0</v>
      </c>
      <c r="J29" s="262"/>
      <c r="M29" s="370">
        <f t="shared" si="2"/>
        <v>0</v>
      </c>
      <c r="N29" s="369"/>
    </row>
    <row r="30" spans="1:14" x14ac:dyDescent="0.25">
      <c r="A30" s="260" t="s">
        <v>228</v>
      </c>
      <c r="B30" s="261" t="s">
        <v>510</v>
      </c>
      <c r="C30" s="252" t="s">
        <v>138</v>
      </c>
      <c r="D30" s="262">
        <v>1.25</v>
      </c>
      <c r="E30" s="262">
        <v>1.25</v>
      </c>
      <c r="F30" s="262"/>
      <c r="G30" s="262">
        <v>1.25</v>
      </c>
      <c r="H30" s="259">
        <v>1</v>
      </c>
      <c r="I30" s="262">
        <v>1.25</v>
      </c>
      <c r="J30" s="262"/>
      <c r="M30" s="370">
        <f t="shared" si="2"/>
        <v>0</v>
      </c>
      <c r="N30" s="369"/>
    </row>
    <row r="31" spans="1:14" x14ac:dyDescent="0.25">
      <c r="A31" s="260" t="s">
        <v>460</v>
      </c>
      <c r="B31" s="267" t="s">
        <v>505</v>
      </c>
      <c r="C31" s="252" t="s">
        <v>139</v>
      </c>
      <c r="D31" s="262">
        <f>E31</f>
        <v>0</v>
      </c>
      <c r="E31" s="262">
        <v>0</v>
      </c>
      <c r="F31" s="262">
        <v>0</v>
      </c>
      <c r="G31" s="262"/>
      <c r="H31" s="259"/>
      <c r="I31" s="342"/>
      <c r="J31" s="262"/>
      <c r="M31" s="370">
        <f t="shared" si="2"/>
        <v>0</v>
      </c>
      <c r="N31" s="369"/>
    </row>
    <row r="32" spans="1:14" x14ac:dyDescent="0.25">
      <c r="A32" s="260" t="s">
        <v>507</v>
      </c>
      <c r="B32" s="261" t="s">
        <v>671</v>
      </c>
      <c r="C32" s="252" t="s">
        <v>140</v>
      </c>
      <c r="D32" s="262">
        <f>E32</f>
        <v>24</v>
      </c>
      <c r="E32" s="262">
        <v>24</v>
      </c>
      <c r="F32" s="262"/>
      <c r="G32" s="262">
        <v>24</v>
      </c>
      <c r="H32" s="259">
        <f>$H$9</f>
        <v>1</v>
      </c>
      <c r="I32" s="342">
        <f>ROUND(G32*H32,2)</f>
        <v>24</v>
      </c>
      <c r="J32" s="262"/>
      <c r="M32" s="370">
        <f t="shared" si="2"/>
        <v>0</v>
      </c>
      <c r="N32" s="369"/>
    </row>
    <row r="33" spans="1:14" x14ac:dyDescent="0.25">
      <c r="A33" s="260" t="s">
        <v>508</v>
      </c>
      <c r="B33" s="261" t="s">
        <v>504</v>
      </c>
      <c r="C33" s="252" t="s">
        <v>141</v>
      </c>
      <c r="D33" s="262">
        <f>E33</f>
        <v>0</v>
      </c>
      <c r="E33" s="262">
        <v>0</v>
      </c>
      <c r="F33" s="262">
        <v>0</v>
      </c>
      <c r="G33" s="262"/>
      <c r="H33" s="259">
        <f>$H$9</f>
        <v>1</v>
      </c>
      <c r="I33" s="342">
        <f>ROUND(G33*H33,2)</f>
        <v>0</v>
      </c>
      <c r="J33" s="262">
        <f>G33-I33</f>
        <v>0</v>
      </c>
      <c r="M33" s="370">
        <f t="shared" si="2"/>
        <v>0</v>
      </c>
      <c r="N33" s="369"/>
    </row>
    <row r="34" spans="1:14" x14ac:dyDescent="0.25">
      <c r="A34" s="255" t="s">
        <v>377</v>
      </c>
      <c r="B34" s="256" t="s">
        <v>256</v>
      </c>
      <c r="C34" s="257" t="s">
        <v>142</v>
      </c>
      <c r="D34" s="258">
        <f>D35+D36+D37</f>
        <v>11.3</v>
      </c>
      <c r="E34" s="258">
        <f t="shared" ref="E34:J34" si="8">E35+E36+E37</f>
        <v>11.3</v>
      </c>
      <c r="F34" s="258">
        <f t="shared" si="8"/>
        <v>0</v>
      </c>
      <c r="G34" s="258">
        <f>G35+G36+G37</f>
        <v>12.7</v>
      </c>
      <c r="H34" s="266"/>
      <c r="I34" s="341">
        <f t="shared" si="8"/>
        <v>12.7</v>
      </c>
      <c r="J34" s="258">
        <f t="shared" si="8"/>
        <v>0</v>
      </c>
      <c r="M34" s="370">
        <f t="shared" si="2"/>
        <v>0</v>
      </c>
      <c r="N34" s="369"/>
    </row>
    <row r="35" spans="1:14" x14ac:dyDescent="0.25">
      <c r="A35" s="260" t="s">
        <v>229</v>
      </c>
      <c r="B35" s="261" t="s">
        <v>620</v>
      </c>
      <c r="C35" s="252" t="s">
        <v>143</v>
      </c>
      <c r="D35" s="262">
        <f>E35</f>
        <v>0</v>
      </c>
      <c r="E35" s="262">
        <v>0</v>
      </c>
      <c r="F35" s="262"/>
      <c r="G35" s="262">
        <f>I35</f>
        <v>1.2</v>
      </c>
      <c r="H35" s="259">
        <v>1</v>
      </c>
      <c r="I35" s="342">
        <v>1.2</v>
      </c>
      <c r="J35" s="262"/>
      <c r="M35" s="370">
        <f t="shared" si="2"/>
        <v>0</v>
      </c>
      <c r="N35" s="369"/>
    </row>
    <row r="36" spans="1:14" x14ac:dyDescent="0.25">
      <c r="A36" s="260" t="s">
        <v>230</v>
      </c>
      <c r="B36" s="261" t="s">
        <v>495</v>
      </c>
      <c r="C36" s="252" t="s">
        <v>144</v>
      </c>
      <c r="D36" s="262"/>
      <c r="E36" s="262"/>
      <c r="F36" s="262"/>
      <c r="G36" s="262"/>
      <c r="H36" s="259"/>
      <c r="I36" s="342"/>
      <c r="J36" s="262"/>
      <c r="M36" s="370">
        <f t="shared" si="2"/>
        <v>0</v>
      </c>
      <c r="N36" s="369"/>
    </row>
    <row r="37" spans="1:14" x14ac:dyDescent="0.25">
      <c r="A37" s="260" t="s">
        <v>266</v>
      </c>
      <c r="B37" s="261" t="s">
        <v>257</v>
      </c>
      <c r="C37" s="252" t="s">
        <v>145</v>
      </c>
      <c r="D37" s="262">
        <f>E37</f>
        <v>11.3</v>
      </c>
      <c r="E37" s="262">
        <f>11.3</f>
        <v>11.3</v>
      </c>
      <c r="F37" s="262">
        <v>0</v>
      </c>
      <c r="G37" s="262">
        <v>11.5</v>
      </c>
      <c r="H37" s="259">
        <f>$H$9</f>
        <v>1</v>
      </c>
      <c r="I37" s="342">
        <f>ROUND(G37*H37,2)</f>
        <v>11.5</v>
      </c>
      <c r="J37" s="262">
        <f>G37-I37</f>
        <v>0</v>
      </c>
      <c r="M37" s="370">
        <f t="shared" si="2"/>
        <v>0</v>
      </c>
      <c r="N37" s="369"/>
    </row>
    <row r="38" spans="1:14" ht="31.5" x14ac:dyDescent="0.25">
      <c r="A38" s="260" t="s">
        <v>378</v>
      </c>
      <c r="B38" s="261" t="s">
        <v>503</v>
      </c>
      <c r="C38" s="252" t="s">
        <v>146</v>
      </c>
      <c r="D38" s="262">
        <f>E38+F38</f>
        <v>5.0999999999999996</v>
      </c>
      <c r="E38" s="262">
        <v>5.0999999999999996</v>
      </c>
      <c r="F38" s="262">
        <v>0</v>
      </c>
      <c r="G38" s="262">
        <v>5</v>
      </c>
      <c r="H38" s="259">
        <f>$H$9</f>
        <v>1</v>
      </c>
      <c r="I38" s="342">
        <f>ROUND(G38*H38,2)</f>
        <v>5</v>
      </c>
      <c r="J38" s="262">
        <f>G38-I38</f>
        <v>0</v>
      </c>
      <c r="M38" s="370">
        <f t="shared" si="2"/>
        <v>0</v>
      </c>
      <c r="N38" s="369"/>
    </row>
    <row r="39" spans="1:14" ht="47.25" x14ac:dyDescent="0.25">
      <c r="A39" s="260" t="s">
        <v>381</v>
      </c>
      <c r="B39" s="261" t="s">
        <v>258</v>
      </c>
      <c r="C39" s="252" t="s">
        <v>200</v>
      </c>
      <c r="D39" s="262"/>
      <c r="E39" s="262"/>
      <c r="F39" s="262"/>
      <c r="G39" s="262"/>
      <c r="H39" s="259"/>
      <c r="I39" s="342"/>
      <c r="J39" s="262"/>
      <c r="M39" s="370">
        <f t="shared" si="2"/>
        <v>0</v>
      </c>
      <c r="N39" s="369"/>
    </row>
    <row r="40" spans="1:14" x14ac:dyDescent="0.25">
      <c r="A40" s="260" t="s">
        <v>382</v>
      </c>
      <c r="B40" s="261" t="s">
        <v>259</v>
      </c>
      <c r="C40" s="252" t="s">
        <v>496</v>
      </c>
      <c r="D40" s="262"/>
      <c r="E40" s="262"/>
      <c r="F40" s="262"/>
      <c r="G40" s="262"/>
      <c r="H40" s="259"/>
      <c r="I40" s="342"/>
      <c r="J40" s="262"/>
      <c r="M40" s="370">
        <f t="shared" si="2"/>
        <v>0</v>
      </c>
      <c r="N40" s="369"/>
    </row>
    <row r="41" spans="1:14" ht="47.25" x14ac:dyDescent="0.25">
      <c r="A41" s="255" t="s">
        <v>383</v>
      </c>
      <c r="B41" s="256" t="s">
        <v>260</v>
      </c>
      <c r="C41" s="257" t="s">
        <v>201</v>
      </c>
      <c r="D41" s="258">
        <f>D42+D43+D44+D45</f>
        <v>0</v>
      </c>
      <c r="E41" s="258">
        <f t="shared" ref="E41:J41" si="9">E42+E43+E44+E45</f>
        <v>0</v>
      </c>
      <c r="F41" s="258">
        <f t="shared" si="9"/>
        <v>0</v>
      </c>
      <c r="G41" s="258">
        <f t="shared" si="9"/>
        <v>0</v>
      </c>
      <c r="H41" s="266"/>
      <c r="I41" s="341">
        <f t="shared" si="9"/>
        <v>0</v>
      </c>
      <c r="J41" s="258">
        <f t="shared" si="9"/>
        <v>0</v>
      </c>
      <c r="M41" s="370">
        <f t="shared" si="2"/>
        <v>0</v>
      </c>
    </row>
    <row r="42" spans="1:14" x14ac:dyDescent="0.25">
      <c r="A42" s="260" t="s">
        <v>239</v>
      </c>
      <c r="B42" s="261" t="s">
        <v>188</v>
      </c>
      <c r="C42" s="252" t="s">
        <v>202</v>
      </c>
      <c r="D42" s="262"/>
      <c r="E42" s="262"/>
      <c r="F42" s="262"/>
      <c r="G42" s="262"/>
      <c r="H42" s="259"/>
      <c r="I42" s="342"/>
      <c r="J42" s="262"/>
      <c r="M42" s="370">
        <f t="shared" si="2"/>
        <v>0</v>
      </c>
    </row>
    <row r="43" spans="1:14" x14ac:dyDescent="0.25">
      <c r="A43" s="260" t="s">
        <v>240</v>
      </c>
      <c r="B43" s="261" t="s">
        <v>189</v>
      </c>
      <c r="C43" s="252" t="s">
        <v>203</v>
      </c>
      <c r="D43" s="262"/>
      <c r="E43" s="262"/>
      <c r="F43" s="262"/>
      <c r="G43" s="262"/>
      <c r="H43" s="259"/>
      <c r="I43" s="342"/>
      <c r="J43" s="262"/>
      <c r="M43" s="370">
        <f t="shared" si="2"/>
        <v>0</v>
      </c>
    </row>
    <row r="44" spans="1:14" x14ac:dyDescent="0.25">
      <c r="A44" s="260" t="s">
        <v>267</v>
      </c>
      <c r="B44" s="261" t="s">
        <v>456</v>
      </c>
      <c r="C44" s="252" t="s">
        <v>204</v>
      </c>
      <c r="D44" s="262"/>
      <c r="E44" s="262"/>
      <c r="F44" s="262"/>
      <c r="G44" s="262">
        <f>ПММ!R7</f>
        <v>0</v>
      </c>
      <c r="H44" s="259"/>
      <c r="I44" s="342">
        <f>ROUND(G44*H44,2)</f>
        <v>0</v>
      </c>
      <c r="J44" s="262">
        <f>G44-I44</f>
        <v>0</v>
      </c>
      <c r="M44" s="370">
        <f t="shared" si="2"/>
        <v>0</v>
      </c>
    </row>
    <row r="45" spans="1:14" x14ac:dyDescent="0.25">
      <c r="A45" s="260" t="s">
        <v>487</v>
      </c>
      <c r="B45" s="261" t="s">
        <v>558</v>
      </c>
      <c r="C45" s="252" t="s">
        <v>205</v>
      </c>
      <c r="D45" s="262">
        <v>0</v>
      </c>
      <c r="E45" s="262">
        <v>0</v>
      </c>
      <c r="F45" s="262">
        <v>0</v>
      </c>
      <c r="G45" s="262">
        <v>0</v>
      </c>
      <c r="H45" s="259"/>
      <c r="I45" s="342">
        <f>ROUND(G45*H45,2)</f>
        <v>0</v>
      </c>
      <c r="J45" s="262">
        <f>G45-I45</f>
        <v>0</v>
      </c>
      <c r="M45" s="370">
        <f t="shared" si="2"/>
        <v>0</v>
      </c>
    </row>
    <row r="46" spans="1:14" x14ac:dyDescent="0.25">
      <c r="A46" s="255" t="s">
        <v>384</v>
      </c>
      <c r="B46" s="256" t="s">
        <v>261</v>
      </c>
      <c r="C46" s="257" t="s">
        <v>206</v>
      </c>
      <c r="D46" s="258">
        <f>D47+D48+D49</f>
        <v>2.12</v>
      </c>
      <c r="E46" s="258">
        <f t="shared" ref="E46:J46" si="10">E47+E48+E49</f>
        <v>2.12</v>
      </c>
      <c r="F46" s="258">
        <f t="shared" si="10"/>
        <v>0</v>
      </c>
      <c r="G46" s="258">
        <f t="shared" si="10"/>
        <v>3</v>
      </c>
      <c r="H46" s="266">
        <v>1</v>
      </c>
      <c r="I46" s="341">
        <f t="shared" si="10"/>
        <v>3</v>
      </c>
      <c r="J46" s="258">
        <f t="shared" si="10"/>
        <v>0</v>
      </c>
      <c r="M46" s="370">
        <f t="shared" si="2"/>
        <v>0</v>
      </c>
    </row>
    <row r="47" spans="1:14" x14ac:dyDescent="0.25">
      <c r="A47" s="260" t="s">
        <v>497</v>
      </c>
      <c r="B47" s="261" t="s">
        <v>498</v>
      </c>
      <c r="C47" s="252" t="s">
        <v>464</v>
      </c>
      <c r="D47" s="262">
        <f>E47</f>
        <v>2.12</v>
      </c>
      <c r="E47" s="262">
        <v>2.12</v>
      </c>
      <c r="F47" s="262"/>
      <c r="G47" s="262">
        <f>I47</f>
        <v>3</v>
      </c>
      <c r="H47" s="259">
        <v>1</v>
      </c>
      <c r="I47" s="342">
        <v>3</v>
      </c>
      <c r="J47" s="262"/>
      <c r="M47" s="370">
        <f>D47-E47-F47</f>
        <v>0</v>
      </c>
    </row>
    <row r="48" spans="1:14" x14ac:dyDescent="0.25">
      <c r="A48" s="260" t="s">
        <v>499</v>
      </c>
      <c r="B48" s="261" t="s">
        <v>500</v>
      </c>
      <c r="C48" s="252" t="s">
        <v>207</v>
      </c>
      <c r="D48" s="262"/>
      <c r="E48" s="262"/>
      <c r="F48" s="262"/>
      <c r="G48" s="262"/>
      <c r="H48" s="259"/>
      <c r="I48" s="342"/>
      <c r="J48" s="262"/>
      <c r="L48" s="363">
        <v>18929.990000000002</v>
      </c>
      <c r="M48" s="370">
        <f t="shared" si="2"/>
        <v>0</v>
      </c>
    </row>
    <row r="49" spans="1:13" x14ac:dyDescent="0.25">
      <c r="A49" s="260" t="s">
        <v>501</v>
      </c>
      <c r="B49" s="261" t="s">
        <v>502</v>
      </c>
      <c r="C49" s="252" t="s">
        <v>208</v>
      </c>
      <c r="D49" s="262"/>
      <c r="E49" s="262"/>
      <c r="F49" s="262"/>
      <c r="G49" s="262"/>
      <c r="H49" s="259"/>
      <c r="I49" s="342"/>
      <c r="J49" s="262"/>
      <c r="L49" s="363">
        <v>1580.4</v>
      </c>
      <c r="M49" s="370">
        <f t="shared" si="2"/>
        <v>0</v>
      </c>
    </row>
    <row r="50" spans="1:13" x14ac:dyDescent="0.25">
      <c r="J50" s="127" t="s">
        <v>626</v>
      </c>
    </row>
    <row r="51" spans="1:13" x14ac:dyDescent="0.25">
      <c r="B51" s="127" t="s">
        <v>15</v>
      </c>
      <c r="D51" s="127" t="s">
        <v>57</v>
      </c>
      <c r="G51" s="127" t="s">
        <v>57</v>
      </c>
    </row>
    <row r="52" spans="1:13" x14ac:dyDescent="0.25">
      <c r="D52" s="508" t="s">
        <v>17</v>
      </c>
      <c r="E52" s="508"/>
      <c r="G52" s="127" t="s">
        <v>18</v>
      </c>
    </row>
    <row r="53" spans="1:13" x14ac:dyDescent="0.25">
      <c r="D53" s="127" t="s">
        <v>19</v>
      </c>
    </row>
    <row r="54" spans="1:13" x14ac:dyDescent="0.25">
      <c r="B54" s="127" t="s">
        <v>647</v>
      </c>
    </row>
  </sheetData>
  <mergeCells count="12">
    <mergeCell ref="D52:E52"/>
    <mergeCell ref="H5:J5"/>
    <mergeCell ref="A2:J2"/>
    <mergeCell ref="A1:J1"/>
    <mergeCell ref="A4:A6"/>
    <mergeCell ref="B4:B6"/>
    <mergeCell ref="C4:C6"/>
    <mergeCell ref="D4:F4"/>
    <mergeCell ref="G4:J4"/>
    <mergeCell ref="D5:D6"/>
    <mergeCell ref="E5:F5"/>
    <mergeCell ref="G5:G6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82" zoomScaleNormal="82" workbookViewId="0">
      <pane ySplit="8" topLeftCell="A17" activePane="bottomLeft" state="frozenSplit"/>
      <selection activeCell="F16" sqref="F16"/>
      <selection pane="bottomLeft" activeCell="G11" sqref="G11"/>
    </sheetView>
  </sheetViews>
  <sheetFormatPr defaultRowHeight="15.75" x14ac:dyDescent="0.25"/>
  <cols>
    <col min="1" max="1" width="6.28515625" style="67" customWidth="1"/>
    <col min="2" max="2" width="44.28515625" style="127" customWidth="1"/>
    <col min="3" max="3" width="7" style="67" customWidth="1"/>
    <col min="4" max="4" width="11" style="127" customWidth="1"/>
    <col min="5" max="5" width="11.28515625" style="127" customWidth="1"/>
    <col min="6" max="6" width="9.140625" style="127"/>
    <col min="7" max="7" width="11.85546875" style="127" customWidth="1"/>
    <col min="8" max="8" width="13.28515625" style="127" customWidth="1"/>
    <col min="9" max="9" width="9.140625" style="126"/>
    <col min="10" max="16384" width="9.140625" style="127"/>
  </cols>
  <sheetData>
    <row r="1" spans="1:13" x14ac:dyDescent="0.25">
      <c r="A1" s="509" t="s">
        <v>613</v>
      </c>
      <c r="B1" s="509"/>
      <c r="C1" s="509"/>
      <c r="D1" s="509"/>
      <c r="E1" s="509"/>
      <c r="F1" s="509"/>
      <c r="G1" s="509"/>
      <c r="H1" s="509"/>
      <c r="I1" s="509"/>
    </row>
    <row r="2" spans="1:13" ht="48.75" customHeight="1" x14ac:dyDescent="0.25">
      <c r="A2" s="510" t="s">
        <v>429</v>
      </c>
      <c r="B2" s="510"/>
      <c r="C2" s="510"/>
      <c r="D2" s="510"/>
      <c r="E2" s="510"/>
      <c r="F2" s="510"/>
      <c r="G2" s="510"/>
      <c r="H2" s="510"/>
      <c r="I2" s="510"/>
    </row>
    <row r="3" spans="1:13" x14ac:dyDescent="0.25">
      <c r="A3" s="406"/>
      <c r="B3" s="406"/>
      <c r="C3" s="406"/>
      <c r="D3" s="406"/>
      <c r="E3" s="406"/>
      <c r="F3" s="406"/>
      <c r="G3" s="406"/>
      <c r="H3" s="406"/>
      <c r="I3" s="410"/>
    </row>
    <row r="4" spans="1:13" ht="36.75" customHeight="1" x14ac:dyDescent="0.25">
      <c r="A4" s="498" t="s">
        <v>447</v>
      </c>
      <c r="B4" s="488" t="s">
        <v>511</v>
      </c>
      <c r="C4" s="499" t="s">
        <v>32</v>
      </c>
      <c r="D4" s="488" t="s">
        <v>643</v>
      </c>
      <c r="E4" s="488"/>
      <c r="F4" s="488"/>
      <c r="G4" s="488" t="s">
        <v>644</v>
      </c>
      <c r="H4" s="488"/>
      <c r="I4" s="488"/>
      <c r="J4" s="488"/>
    </row>
    <row r="5" spans="1:13" ht="18.75" customHeight="1" x14ac:dyDescent="0.25">
      <c r="A5" s="498"/>
      <c r="B5" s="488"/>
      <c r="C5" s="499"/>
      <c r="D5" s="488" t="s">
        <v>165</v>
      </c>
      <c r="E5" s="488" t="s">
        <v>449</v>
      </c>
      <c r="F5" s="488"/>
      <c r="G5" s="488" t="s">
        <v>165</v>
      </c>
      <c r="H5" s="488" t="s">
        <v>449</v>
      </c>
      <c r="I5" s="488"/>
      <c r="J5" s="488"/>
    </row>
    <row r="6" spans="1:13" ht="78.75" x14ac:dyDescent="0.25">
      <c r="A6" s="498"/>
      <c r="B6" s="488"/>
      <c r="C6" s="499"/>
      <c r="D6" s="488"/>
      <c r="E6" s="409" t="s">
        <v>450</v>
      </c>
      <c r="F6" s="409" t="s">
        <v>559</v>
      </c>
      <c r="G6" s="488"/>
      <c r="H6" s="409" t="s">
        <v>444</v>
      </c>
      <c r="I6" s="339" t="s">
        <v>450</v>
      </c>
      <c r="J6" s="409" t="s">
        <v>559</v>
      </c>
    </row>
    <row r="7" spans="1:13" x14ac:dyDescent="0.25">
      <c r="A7" s="252" t="s">
        <v>33</v>
      </c>
      <c r="B7" s="253" t="s">
        <v>34</v>
      </c>
      <c r="C7" s="254" t="s">
        <v>35</v>
      </c>
      <c r="D7" s="253">
        <v>1</v>
      </c>
      <c r="E7" s="253">
        <v>2</v>
      </c>
      <c r="F7" s="253">
        <v>3</v>
      </c>
      <c r="G7" s="253">
        <v>4</v>
      </c>
      <c r="H7" s="253">
        <v>5</v>
      </c>
      <c r="I7" s="391">
        <v>6</v>
      </c>
      <c r="J7" s="253">
        <v>7</v>
      </c>
    </row>
    <row r="8" spans="1:13" s="136" customFormat="1" ht="51.75" customHeight="1" x14ac:dyDescent="0.25">
      <c r="A8" s="255"/>
      <c r="B8" s="256" t="s">
        <v>512</v>
      </c>
      <c r="C8" s="257" t="s">
        <v>116</v>
      </c>
      <c r="D8" s="258">
        <f>SUM(D9:D19)</f>
        <v>491.32100000000003</v>
      </c>
      <c r="E8" s="258">
        <f>SUM(E9:E19)</f>
        <v>491.32100000000003</v>
      </c>
      <c r="F8" s="258">
        <f t="shared" ref="F8:J8" si="0">SUM(F9:F19)</f>
        <v>0</v>
      </c>
      <c r="G8" s="258">
        <f t="shared" si="0"/>
        <v>564.82000000000005</v>
      </c>
      <c r="H8" s="258"/>
      <c r="I8" s="258">
        <f>SUM(I9:I19)</f>
        <v>564.82000000000005</v>
      </c>
      <c r="J8" s="258">
        <f t="shared" si="0"/>
        <v>0</v>
      </c>
      <c r="M8" s="285">
        <f>G8/D8-1</f>
        <v>0.14959466418085121</v>
      </c>
    </row>
    <row r="9" spans="1:13" s="136" customFormat="1" ht="63" x14ac:dyDescent="0.25">
      <c r="A9" s="260">
        <v>1</v>
      </c>
      <c r="B9" s="261" t="s">
        <v>513</v>
      </c>
      <c r="C9" s="252" t="s">
        <v>117</v>
      </c>
      <c r="D9" s="342">
        <f>SUM(E9:F9)</f>
        <v>229.75800000000001</v>
      </c>
      <c r="E9" s="342">
        <v>229.75800000000001</v>
      </c>
      <c r="F9" s="262"/>
      <c r="G9" s="342">
        <f>SUM(I9:J9)</f>
        <v>282.56</v>
      </c>
      <c r="H9" s="259">
        <v>1</v>
      </c>
      <c r="I9" s="342">
        <f>ФОТ!I11</f>
        <v>282.56</v>
      </c>
      <c r="J9" s="262"/>
    </row>
    <row r="10" spans="1:13" ht="47.25" x14ac:dyDescent="0.25">
      <c r="A10" s="260">
        <v>2</v>
      </c>
      <c r="B10" s="261" t="s">
        <v>244</v>
      </c>
      <c r="C10" s="252" t="s">
        <v>118</v>
      </c>
      <c r="D10" s="342">
        <f t="shared" ref="D10:D21" si="1">SUM(E10:F10)</f>
        <v>50.55</v>
      </c>
      <c r="E10" s="342">
        <f>ROUND(E9*0.22,2)</f>
        <v>50.55</v>
      </c>
      <c r="F10" s="262"/>
      <c r="G10" s="342">
        <f t="shared" ref="G10:G18" si="2">SUM(I10:J10)</f>
        <v>62.16</v>
      </c>
      <c r="H10" s="259">
        <v>1</v>
      </c>
      <c r="I10" s="342">
        <f>ROUND(I9*0.22,2)</f>
        <v>62.16</v>
      </c>
      <c r="J10" s="262"/>
    </row>
    <row r="11" spans="1:13" x14ac:dyDescent="0.25">
      <c r="A11" s="260">
        <v>3</v>
      </c>
      <c r="B11" s="261" t="s">
        <v>504</v>
      </c>
      <c r="C11" s="252" t="s">
        <v>119</v>
      </c>
      <c r="D11" s="262">
        <f t="shared" si="1"/>
        <v>196.82400000000001</v>
      </c>
      <c r="E11" s="262">
        <v>196.82400000000001</v>
      </c>
      <c r="F11" s="262"/>
      <c r="G11" s="262">
        <f t="shared" si="2"/>
        <v>197</v>
      </c>
      <c r="H11" s="259">
        <v>1</v>
      </c>
      <c r="I11" s="342">
        <v>197</v>
      </c>
      <c r="J11" s="262"/>
    </row>
    <row r="12" spans="1:13" x14ac:dyDescent="0.25">
      <c r="A12" s="260">
        <v>4</v>
      </c>
      <c r="B12" s="261" t="s">
        <v>621</v>
      </c>
      <c r="C12" s="252" t="s">
        <v>120</v>
      </c>
      <c r="D12" s="262">
        <f t="shared" si="1"/>
        <v>2.415</v>
      </c>
      <c r="E12" s="262">
        <f>1.13+1.285</f>
        <v>2.415</v>
      </c>
      <c r="F12" s="262"/>
      <c r="G12" s="262">
        <f t="shared" si="2"/>
        <v>9</v>
      </c>
      <c r="H12" s="259">
        <v>1</v>
      </c>
      <c r="I12" s="342">
        <v>9</v>
      </c>
      <c r="J12" s="262"/>
    </row>
    <row r="13" spans="1:13" ht="94.5" x14ac:dyDescent="0.25">
      <c r="A13" s="260">
        <v>5</v>
      </c>
      <c r="B13" s="261" t="s">
        <v>514</v>
      </c>
      <c r="C13" s="252" t="s">
        <v>121</v>
      </c>
      <c r="D13" s="262">
        <f t="shared" si="1"/>
        <v>0</v>
      </c>
      <c r="E13" s="262"/>
      <c r="F13" s="262"/>
      <c r="G13" s="262">
        <f t="shared" si="2"/>
        <v>0</v>
      </c>
      <c r="H13" s="259"/>
      <c r="I13" s="342"/>
      <c r="J13" s="262"/>
    </row>
    <row r="14" spans="1:13" ht="78.75" x14ac:dyDescent="0.25">
      <c r="A14" s="260">
        <v>6</v>
      </c>
      <c r="B14" s="261" t="s">
        <v>515</v>
      </c>
      <c r="C14" s="252" t="s">
        <v>122</v>
      </c>
      <c r="D14" s="262">
        <f t="shared" si="1"/>
        <v>0</v>
      </c>
      <c r="E14" s="262">
        <v>0</v>
      </c>
      <c r="F14" s="262"/>
      <c r="G14" s="262">
        <f t="shared" si="2"/>
        <v>0</v>
      </c>
      <c r="H14" s="259"/>
      <c r="I14" s="342">
        <v>0</v>
      </c>
      <c r="J14" s="262"/>
    </row>
    <row r="15" spans="1:13" ht="63" x14ac:dyDescent="0.25">
      <c r="A15" s="260">
        <v>7</v>
      </c>
      <c r="B15" s="261" t="s">
        <v>516</v>
      </c>
      <c r="C15" s="252" t="s">
        <v>123</v>
      </c>
      <c r="D15" s="262">
        <f t="shared" si="1"/>
        <v>8.702</v>
      </c>
      <c r="E15" s="262">
        <f>0.794+4.908+0.125+1.537+0.3+1.038</f>
        <v>8.702</v>
      </c>
      <c r="F15" s="262"/>
      <c r="G15" s="262">
        <f>SUM(I15:J15)</f>
        <v>8.6999999999999993</v>
      </c>
      <c r="H15" s="259">
        <v>1</v>
      </c>
      <c r="I15" s="342">
        <v>8.6999999999999993</v>
      </c>
      <c r="J15" s="262"/>
    </row>
    <row r="16" spans="1:13" ht="63" x14ac:dyDescent="0.25">
      <c r="A16" s="260">
        <v>8</v>
      </c>
      <c r="B16" s="261" t="s">
        <v>517</v>
      </c>
      <c r="C16" s="252" t="s">
        <v>124</v>
      </c>
      <c r="D16" s="262">
        <f t="shared" si="1"/>
        <v>0</v>
      </c>
      <c r="E16" s="262"/>
      <c r="F16" s="262"/>
      <c r="G16" s="262">
        <f t="shared" si="2"/>
        <v>0</v>
      </c>
      <c r="H16" s="259"/>
      <c r="I16" s="342"/>
      <c r="J16" s="262"/>
    </row>
    <row r="17" spans="1:13" ht="63" x14ac:dyDescent="0.25">
      <c r="A17" s="260">
        <v>9</v>
      </c>
      <c r="B17" s="261" t="s">
        <v>518</v>
      </c>
      <c r="C17" s="252" t="s">
        <v>125</v>
      </c>
      <c r="D17" s="262">
        <f t="shared" si="1"/>
        <v>2.6970000000000001</v>
      </c>
      <c r="E17" s="262">
        <v>2.6970000000000001</v>
      </c>
      <c r="F17" s="262"/>
      <c r="G17" s="262">
        <f>I17</f>
        <v>3</v>
      </c>
      <c r="H17" s="259">
        <v>1</v>
      </c>
      <c r="I17" s="342">
        <v>3</v>
      </c>
      <c r="J17" s="262"/>
    </row>
    <row r="18" spans="1:13" ht="78.75" x14ac:dyDescent="0.25">
      <c r="A18" s="260">
        <v>10</v>
      </c>
      <c r="B18" s="261" t="s">
        <v>519</v>
      </c>
      <c r="C18" s="252" t="s">
        <v>126</v>
      </c>
      <c r="D18" s="262">
        <f t="shared" si="1"/>
        <v>0</v>
      </c>
      <c r="E18" s="262">
        <v>0</v>
      </c>
      <c r="F18" s="262"/>
      <c r="G18" s="262">
        <f t="shared" si="2"/>
        <v>2</v>
      </c>
      <c r="H18" s="259">
        <v>1</v>
      </c>
      <c r="I18" s="342">
        <v>2</v>
      </c>
      <c r="J18" s="262"/>
    </row>
    <row r="19" spans="1:13" s="136" customFormat="1" x14ac:dyDescent="0.25">
      <c r="A19" s="255">
        <v>11</v>
      </c>
      <c r="B19" s="256" t="s">
        <v>520</v>
      </c>
      <c r="C19" s="257" t="s">
        <v>127</v>
      </c>
      <c r="D19" s="258">
        <f t="shared" si="1"/>
        <v>0.375</v>
      </c>
      <c r="E19" s="258">
        <f>SUM(E20:E22)</f>
        <v>0.375</v>
      </c>
      <c r="F19" s="258">
        <f>SUM(F20:F22)</f>
        <v>0</v>
      </c>
      <c r="G19" s="258">
        <f>SUM(I19:J19)</f>
        <v>0.4</v>
      </c>
      <c r="H19" s="266"/>
      <c r="I19" s="341">
        <f>SUM(I20:I22)</f>
        <v>0.4</v>
      </c>
      <c r="J19" s="258">
        <f>SUM(J20:J22)</f>
        <v>0</v>
      </c>
    </row>
    <row r="20" spans="1:13" x14ac:dyDescent="0.25">
      <c r="A20" s="260" t="s">
        <v>229</v>
      </c>
      <c r="B20" s="261" t="s">
        <v>521</v>
      </c>
      <c r="C20" s="252" t="s">
        <v>128</v>
      </c>
      <c r="D20" s="262">
        <f>SUM(E20:F20)</f>
        <v>0</v>
      </c>
      <c r="E20" s="262"/>
      <c r="F20" s="262"/>
      <c r="G20" s="262">
        <f t="shared" ref="G20:G22" si="3">SUM(I20:J20)</f>
        <v>0</v>
      </c>
      <c r="H20" s="259"/>
      <c r="I20" s="342"/>
      <c r="J20" s="262"/>
    </row>
    <row r="21" spans="1:13" x14ac:dyDescent="0.25">
      <c r="A21" s="260" t="s">
        <v>230</v>
      </c>
      <c r="B21" s="261" t="s">
        <v>539</v>
      </c>
      <c r="C21" s="252" t="s">
        <v>129</v>
      </c>
      <c r="D21" s="262">
        <f t="shared" si="1"/>
        <v>0</v>
      </c>
      <c r="E21" s="262">
        <v>0</v>
      </c>
      <c r="F21" s="262"/>
      <c r="G21" s="262">
        <f t="shared" si="3"/>
        <v>0</v>
      </c>
      <c r="H21" s="259"/>
      <c r="I21" s="342">
        <v>0</v>
      </c>
      <c r="J21" s="262"/>
    </row>
    <row r="22" spans="1:13" x14ac:dyDescent="0.25">
      <c r="A22" s="260" t="s">
        <v>266</v>
      </c>
      <c r="B22" s="261" t="s">
        <v>540</v>
      </c>
      <c r="C22" s="252" t="s">
        <v>130</v>
      </c>
      <c r="D22" s="262">
        <f>SUM(E22:F22)</f>
        <v>0.375</v>
      </c>
      <c r="E22" s="262">
        <v>0.375</v>
      </c>
      <c r="F22" s="262"/>
      <c r="G22" s="262">
        <f t="shared" si="3"/>
        <v>0.4</v>
      </c>
      <c r="H22" s="259"/>
      <c r="I22" s="342">
        <v>0.4</v>
      </c>
      <c r="J22" s="262"/>
    </row>
    <row r="23" spans="1:13" ht="14.25" customHeight="1" x14ac:dyDescent="0.25"/>
    <row r="24" spans="1:13" x14ac:dyDescent="0.25">
      <c r="A24" s="127"/>
      <c r="B24" s="127" t="s">
        <v>15</v>
      </c>
      <c r="C24" s="127"/>
      <c r="D24" s="127" t="s">
        <v>57</v>
      </c>
      <c r="G24" s="127" t="s">
        <v>57</v>
      </c>
      <c r="J24" s="127" t="s">
        <v>626</v>
      </c>
      <c r="M24" s="280"/>
    </row>
    <row r="25" spans="1:13" x14ac:dyDescent="0.25">
      <c r="A25" s="127"/>
      <c r="C25" s="127"/>
      <c r="D25" s="508" t="s">
        <v>17</v>
      </c>
      <c r="E25" s="508"/>
      <c r="G25" s="127" t="s">
        <v>18</v>
      </c>
      <c r="M25" s="280"/>
    </row>
    <row r="26" spans="1:13" x14ac:dyDescent="0.25">
      <c r="A26" s="127"/>
      <c r="C26" s="127"/>
      <c r="D26" s="127" t="s">
        <v>19</v>
      </c>
      <c r="M26" s="280"/>
    </row>
    <row r="27" spans="1:13" x14ac:dyDescent="0.25">
      <c r="A27" s="127"/>
      <c r="B27" s="127" t="s">
        <v>647</v>
      </c>
      <c r="C27" s="127"/>
      <c r="M27" s="280"/>
    </row>
    <row r="28" spans="1:13" x14ac:dyDescent="0.25">
      <c r="A28" s="127"/>
      <c r="C28" s="127"/>
      <c r="M28" s="280"/>
    </row>
    <row r="29" spans="1:13" x14ac:dyDescent="0.25">
      <c r="A29" s="127"/>
      <c r="C29" s="127"/>
      <c r="M29" s="280"/>
    </row>
  </sheetData>
  <mergeCells count="12">
    <mergeCell ref="D25:E25"/>
    <mergeCell ref="A1:I1"/>
    <mergeCell ref="A2:I2"/>
    <mergeCell ref="A4:A6"/>
    <mergeCell ref="B4:B6"/>
    <mergeCell ref="C4:C6"/>
    <mergeCell ref="D4:F4"/>
    <mergeCell ref="G4:J4"/>
    <mergeCell ref="D5:D6"/>
    <mergeCell ref="E5:F5"/>
    <mergeCell ref="G5:G6"/>
    <mergeCell ref="H5:J5"/>
  </mergeCells>
  <pageMargins left="0.78740157480314965" right="0.39370078740157483" top="0.39370078740157483" bottom="0.39370078740157483" header="0" footer="0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F16" sqref="F16"/>
    </sheetView>
  </sheetViews>
  <sheetFormatPr defaultRowHeight="15" x14ac:dyDescent="0.25"/>
  <cols>
    <col min="1" max="1" width="4.140625" customWidth="1"/>
    <col min="2" max="2" width="20.28515625" customWidth="1"/>
    <col min="3" max="3" width="5.42578125" style="2" customWidth="1"/>
  </cols>
  <sheetData>
    <row r="1" spans="1:17" ht="17.25" x14ac:dyDescent="0.25">
      <c r="A1" s="511" t="s">
        <v>268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</row>
    <row r="2" spans="1:17" x14ac:dyDescent="0.25">
      <c r="A2" s="1"/>
    </row>
    <row r="3" spans="1:17" x14ac:dyDescent="0.25">
      <c r="A3" s="512" t="s">
        <v>0</v>
      </c>
      <c r="B3" s="513" t="s">
        <v>269</v>
      </c>
      <c r="C3" s="514" t="s">
        <v>32</v>
      </c>
      <c r="D3" s="513" t="s">
        <v>214</v>
      </c>
      <c r="E3" s="513"/>
      <c r="F3" s="513"/>
      <c r="G3" s="513"/>
      <c r="H3" s="513"/>
      <c r="I3" s="513" t="s">
        <v>100</v>
      </c>
      <c r="J3" s="513"/>
      <c r="K3" s="513"/>
      <c r="L3" s="513"/>
      <c r="M3" s="513"/>
      <c r="N3" s="513"/>
      <c r="O3" s="513"/>
      <c r="P3" s="513"/>
      <c r="Q3" s="513"/>
    </row>
    <row r="4" spans="1:17" x14ac:dyDescent="0.25">
      <c r="A4" s="512"/>
      <c r="B4" s="513"/>
      <c r="C4" s="514"/>
      <c r="D4" s="513" t="s">
        <v>213</v>
      </c>
      <c r="E4" s="513" t="s">
        <v>164</v>
      </c>
      <c r="F4" s="513" t="s">
        <v>165</v>
      </c>
      <c r="G4" s="513" t="s">
        <v>166</v>
      </c>
      <c r="H4" s="513"/>
      <c r="I4" s="513" t="s">
        <v>213</v>
      </c>
      <c r="J4" s="513" t="s">
        <v>164</v>
      </c>
      <c r="K4" s="513" t="s">
        <v>165</v>
      </c>
      <c r="L4" s="513" t="s">
        <v>167</v>
      </c>
      <c r="M4" s="513"/>
      <c r="N4" s="513" t="s">
        <v>168</v>
      </c>
      <c r="O4" s="513"/>
      <c r="P4" s="513"/>
      <c r="Q4" s="513"/>
    </row>
    <row r="5" spans="1:17" ht="51" x14ac:dyDescent="0.25">
      <c r="A5" s="512"/>
      <c r="B5" s="513"/>
      <c r="C5" s="514"/>
      <c r="D5" s="513"/>
      <c r="E5" s="513"/>
      <c r="F5" s="513"/>
      <c r="G5" s="15" t="s">
        <v>215</v>
      </c>
      <c r="H5" s="15" t="s">
        <v>216</v>
      </c>
      <c r="I5" s="513"/>
      <c r="J5" s="513"/>
      <c r="K5" s="513"/>
      <c r="L5" s="9" t="s">
        <v>215</v>
      </c>
      <c r="M5" s="15" t="s">
        <v>216</v>
      </c>
      <c r="N5" s="15" t="s">
        <v>218</v>
      </c>
      <c r="O5" s="15" t="s">
        <v>217</v>
      </c>
      <c r="P5" s="9" t="s">
        <v>215</v>
      </c>
      <c r="Q5" s="15" t="s">
        <v>216</v>
      </c>
    </row>
    <row r="6" spans="1:17" x14ac:dyDescent="0.25">
      <c r="A6" s="14" t="s">
        <v>33</v>
      </c>
      <c r="B6" s="15" t="s">
        <v>34</v>
      </c>
      <c r="C6" s="14" t="s">
        <v>35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5">
        <v>6</v>
      </c>
      <c r="J6" s="15">
        <v>7</v>
      </c>
      <c r="K6" s="15">
        <v>8</v>
      </c>
      <c r="L6" s="9">
        <v>9</v>
      </c>
      <c r="M6" s="15">
        <v>10</v>
      </c>
      <c r="N6" s="15">
        <v>11</v>
      </c>
      <c r="O6" s="15">
        <v>12</v>
      </c>
      <c r="P6" s="9">
        <v>13</v>
      </c>
      <c r="Q6" s="15">
        <v>14</v>
      </c>
    </row>
    <row r="7" spans="1:17" s="3" customFormat="1" ht="76.5" x14ac:dyDescent="0.25">
      <c r="A7" s="8"/>
      <c r="B7" s="8" t="s">
        <v>270</v>
      </c>
      <c r="C7" s="14" t="s">
        <v>116</v>
      </c>
      <c r="D7" s="9" t="s">
        <v>58</v>
      </c>
      <c r="E7" s="9" t="s">
        <v>58</v>
      </c>
      <c r="F7" s="9" t="s">
        <v>58</v>
      </c>
      <c r="G7" s="9" t="s">
        <v>58</v>
      </c>
      <c r="H7" s="9" t="s">
        <v>58</v>
      </c>
      <c r="I7" s="7"/>
      <c r="J7" s="7"/>
      <c r="K7" s="10">
        <f>K8+K9+K10+K11+K12+K13+K14+K15+K16+K17+K18</f>
        <v>0</v>
      </c>
      <c r="L7" s="10">
        <f>L8+L9+L10+L11+L12+L13+L14+L15+L16+L17+L18</f>
        <v>0</v>
      </c>
      <c r="M7" s="10">
        <f t="shared" ref="M7:P7" si="0">M8+M9+M10+M11+M12+M13+M14+M15+M16+M17+M18</f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10">
        <f>Q8+Q9+Q10+Q11+Q12+Q13+Q14+Q15+Q16+Q17+Q18</f>
        <v>0</v>
      </c>
    </row>
    <row r="8" spans="1:17" x14ac:dyDescent="0.25">
      <c r="A8" s="6">
        <v>1</v>
      </c>
      <c r="B8" s="6"/>
      <c r="C8" s="14" t="s">
        <v>117</v>
      </c>
      <c r="D8" s="9" t="s">
        <v>58</v>
      </c>
      <c r="E8" s="9" t="s">
        <v>58</v>
      </c>
      <c r="F8" s="9" t="s">
        <v>58</v>
      </c>
      <c r="G8" s="9" t="s">
        <v>58</v>
      </c>
      <c r="H8" s="9" t="s">
        <v>58</v>
      </c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6">
        <v>2</v>
      </c>
      <c r="B9" s="6"/>
      <c r="C9" s="14" t="s">
        <v>118</v>
      </c>
      <c r="D9" s="9" t="s">
        <v>58</v>
      </c>
      <c r="E9" s="9" t="s">
        <v>58</v>
      </c>
      <c r="F9" s="9" t="s">
        <v>58</v>
      </c>
      <c r="G9" s="9" t="s">
        <v>58</v>
      </c>
      <c r="H9" s="9" t="s">
        <v>58</v>
      </c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6">
        <v>3</v>
      </c>
      <c r="B10" s="6"/>
      <c r="C10" s="14" t="s">
        <v>119</v>
      </c>
      <c r="D10" s="9" t="s">
        <v>58</v>
      </c>
      <c r="E10" s="9" t="s">
        <v>58</v>
      </c>
      <c r="F10" s="9" t="s">
        <v>58</v>
      </c>
      <c r="G10" s="9" t="s">
        <v>58</v>
      </c>
      <c r="H10" s="9" t="s">
        <v>58</v>
      </c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6">
        <v>4</v>
      </c>
      <c r="B11" s="6"/>
      <c r="C11" s="14" t="s">
        <v>120</v>
      </c>
      <c r="D11" s="9" t="s">
        <v>58</v>
      </c>
      <c r="E11" s="9" t="s">
        <v>58</v>
      </c>
      <c r="F11" s="9" t="s">
        <v>58</v>
      </c>
      <c r="G11" s="9" t="s">
        <v>58</v>
      </c>
      <c r="H11" s="9" t="s">
        <v>58</v>
      </c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6">
        <v>5</v>
      </c>
      <c r="B12" s="6"/>
      <c r="C12" s="14" t="s">
        <v>121</v>
      </c>
      <c r="D12" s="9" t="s">
        <v>58</v>
      </c>
      <c r="E12" s="9" t="s">
        <v>58</v>
      </c>
      <c r="F12" s="9" t="s">
        <v>58</v>
      </c>
      <c r="G12" s="9" t="s">
        <v>58</v>
      </c>
      <c r="H12" s="9" t="s">
        <v>58</v>
      </c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6">
        <v>6</v>
      </c>
      <c r="B13" s="6"/>
      <c r="C13" s="14" t="s">
        <v>122</v>
      </c>
      <c r="D13" s="9" t="s">
        <v>58</v>
      </c>
      <c r="E13" s="9" t="s">
        <v>58</v>
      </c>
      <c r="F13" s="9" t="s">
        <v>58</v>
      </c>
      <c r="G13" s="9" t="s">
        <v>58</v>
      </c>
      <c r="H13" s="9" t="s">
        <v>58</v>
      </c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6">
        <v>7</v>
      </c>
      <c r="B14" s="6"/>
      <c r="C14" s="14" t="s">
        <v>123</v>
      </c>
      <c r="D14" s="9" t="s">
        <v>58</v>
      </c>
      <c r="E14" s="9" t="s">
        <v>58</v>
      </c>
      <c r="F14" s="9" t="s">
        <v>58</v>
      </c>
      <c r="G14" s="9" t="s">
        <v>58</v>
      </c>
      <c r="H14" s="9" t="s">
        <v>58</v>
      </c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6">
        <v>8</v>
      </c>
      <c r="B15" s="6"/>
      <c r="C15" s="14" t="s">
        <v>124</v>
      </c>
      <c r="D15" s="9" t="s">
        <v>58</v>
      </c>
      <c r="E15" s="9" t="s">
        <v>58</v>
      </c>
      <c r="F15" s="9" t="s">
        <v>58</v>
      </c>
      <c r="G15" s="9" t="s">
        <v>58</v>
      </c>
      <c r="H15" s="9" t="s">
        <v>58</v>
      </c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6">
        <v>9</v>
      </c>
      <c r="B16" s="6"/>
      <c r="C16" s="14" t="s">
        <v>125</v>
      </c>
      <c r="D16" s="9" t="s">
        <v>58</v>
      </c>
      <c r="E16" s="9" t="s">
        <v>58</v>
      </c>
      <c r="F16" s="9" t="s">
        <v>58</v>
      </c>
      <c r="G16" s="9" t="s">
        <v>58</v>
      </c>
      <c r="H16" s="9" t="s">
        <v>58</v>
      </c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6">
        <v>10</v>
      </c>
      <c r="B17" s="6"/>
      <c r="C17" s="14" t="s">
        <v>126</v>
      </c>
      <c r="D17" s="9" t="s">
        <v>58</v>
      </c>
      <c r="E17" s="9" t="s">
        <v>58</v>
      </c>
      <c r="F17" s="9" t="s">
        <v>58</v>
      </c>
      <c r="G17" s="9" t="s">
        <v>58</v>
      </c>
      <c r="H17" s="9" t="s">
        <v>58</v>
      </c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6">
        <v>11</v>
      </c>
      <c r="B18" s="6"/>
      <c r="C18" s="14" t="s">
        <v>127</v>
      </c>
      <c r="D18" s="9" t="s">
        <v>58</v>
      </c>
      <c r="E18" s="9" t="s">
        <v>58</v>
      </c>
      <c r="F18" s="9" t="s">
        <v>58</v>
      </c>
      <c r="G18" s="9" t="s">
        <v>58</v>
      </c>
      <c r="H18" s="9" t="s">
        <v>58</v>
      </c>
      <c r="I18" s="7"/>
      <c r="J18" s="7"/>
      <c r="K18" s="7"/>
      <c r="L18" s="7"/>
      <c r="M18" s="7"/>
      <c r="N18" s="7"/>
      <c r="O18" s="7"/>
      <c r="P18" s="7"/>
      <c r="Q18" s="7"/>
    </row>
    <row r="20" spans="1:17" ht="14.25" customHeight="1" x14ac:dyDescent="0.25">
      <c r="A20" s="2"/>
      <c r="B20" s="492" t="s">
        <v>15</v>
      </c>
      <c r="D20" s="493" t="s">
        <v>57</v>
      </c>
      <c r="E20" s="493"/>
      <c r="F20" s="493"/>
      <c r="G20" s="493"/>
      <c r="H20" s="493" t="s">
        <v>57</v>
      </c>
      <c r="I20" s="493"/>
      <c r="J20" s="493"/>
      <c r="L20" s="3"/>
      <c r="P20" s="3"/>
    </row>
    <row r="21" spans="1:17" ht="14.25" customHeight="1" x14ac:dyDescent="0.25">
      <c r="A21" s="2"/>
      <c r="B21" s="492"/>
      <c r="D21" s="494" t="s">
        <v>17</v>
      </c>
      <c r="E21" s="494"/>
      <c r="F21" s="494"/>
      <c r="G21" s="494"/>
      <c r="H21" s="494" t="s">
        <v>18</v>
      </c>
      <c r="I21" s="494"/>
      <c r="J21" s="494"/>
      <c r="L21" s="3"/>
      <c r="P21" s="3"/>
    </row>
    <row r="22" spans="1:17" ht="14.25" customHeight="1" x14ac:dyDescent="0.25">
      <c r="A22" s="13"/>
      <c r="B22" s="4"/>
      <c r="C22" s="5"/>
      <c r="D22" s="12" t="s">
        <v>19</v>
      </c>
      <c r="L22" s="3"/>
      <c r="P22" s="3"/>
    </row>
    <row r="23" spans="1:17" ht="14.25" customHeight="1" x14ac:dyDescent="0.25">
      <c r="A23" s="2"/>
      <c r="B23" s="491" t="s">
        <v>70</v>
      </c>
      <c r="C23" s="491"/>
      <c r="D23" s="491"/>
      <c r="L23" s="3"/>
      <c r="P23" s="3"/>
    </row>
  </sheetData>
  <mergeCells count="21">
    <mergeCell ref="B23:D23"/>
    <mergeCell ref="J4:J5"/>
    <mergeCell ref="K4:K5"/>
    <mergeCell ref="L4:M4"/>
    <mergeCell ref="N4:Q4"/>
    <mergeCell ref="B20:B21"/>
    <mergeCell ref="D20:G20"/>
    <mergeCell ref="H20:J20"/>
    <mergeCell ref="D21:G21"/>
    <mergeCell ref="H21:J21"/>
    <mergeCell ref="A1:Q1"/>
    <mergeCell ref="A3:A5"/>
    <mergeCell ref="B3:B5"/>
    <mergeCell ref="C3:C5"/>
    <mergeCell ref="D3:H3"/>
    <mergeCell ref="I3:Q3"/>
    <mergeCell ref="D4:D5"/>
    <mergeCell ref="E4:E5"/>
    <mergeCell ref="F4:F5"/>
    <mergeCell ref="G4:H4"/>
    <mergeCell ref="I4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F16" sqref="F16"/>
    </sheetView>
  </sheetViews>
  <sheetFormatPr defaultRowHeight="15" x14ac:dyDescent="0.25"/>
  <cols>
    <col min="1" max="1" width="5.28515625" customWidth="1"/>
    <col min="2" max="2" width="22.7109375" customWidth="1"/>
  </cols>
  <sheetData>
    <row r="1" spans="1:17" ht="17.25" x14ac:dyDescent="0.25">
      <c r="A1" s="511" t="s">
        <v>271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</row>
    <row r="2" spans="1:17" ht="17.2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512" t="s">
        <v>0</v>
      </c>
      <c r="B3" s="513" t="s">
        <v>272</v>
      </c>
      <c r="C3" s="514" t="s">
        <v>32</v>
      </c>
      <c r="D3" s="513" t="s">
        <v>214</v>
      </c>
      <c r="E3" s="513"/>
      <c r="F3" s="513"/>
      <c r="G3" s="513"/>
      <c r="H3" s="513"/>
      <c r="I3" s="513" t="s">
        <v>100</v>
      </c>
      <c r="J3" s="513"/>
      <c r="K3" s="513"/>
      <c r="L3" s="513"/>
      <c r="M3" s="513"/>
      <c r="N3" s="513"/>
      <c r="O3" s="513"/>
      <c r="P3" s="513"/>
      <c r="Q3" s="513"/>
    </row>
    <row r="4" spans="1:17" x14ac:dyDescent="0.25">
      <c r="A4" s="512"/>
      <c r="B4" s="513"/>
      <c r="C4" s="514"/>
      <c r="D4" s="513" t="s">
        <v>213</v>
      </c>
      <c r="E4" s="513" t="s">
        <v>164</v>
      </c>
      <c r="F4" s="513" t="s">
        <v>165</v>
      </c>
      <c r="G4" s="513" t="s">
        <v>166</v>
      </c>
      <c r="H4" s="513"/>
      <c r="I4" s="513" t="s">
        <v>213</v>
      </c>
      <c r="J4" s="513" t="s">
        <v>164</v>
      </c>
      <c r="K4" s="513" t="s">
        <v>165</v>
      </c>
      <c r="L4" s="513" t="s">
        <v>167</v>
      </c>
      <c r="M4" s="513"/>
      <c r="N4" s="513" t="s">
        <v>168</v>
      </c>
      <c r="O4" s="513"/>
      <c r="P4" s="513"/>
      <c r="Q4" s="513"/>
    </row>
    <row r="5" spans="1:17" ht="51" x14ac:dyDescent="0.25">
      <c r="A5" s="512"/>
      <c r="B5" s="513"/>
      <c r="C5" s="514"/>
      <c r="D5" s="513"/>
      <c r="E5" s="513"/>
      <c r="F5" s="513"/>
      <c r="G5" s="15" t="s">
        <v>215</v>
      </c>
      <c r="H5" s="15" t="s">
        <v>216</v>
      </c>
      <c r="I5" s="513"/>
      <c r="J5" s="513"/>
      <c r="K5" s="513"/>
      <c r="L5" s="9" t="s">
        <v>215</v>
      </c>
      <c r="M5" s="15" t="s">
        <v>216</v>
      </c>
      <c r="N5" s="15" t="s">
        <v>218</v>
      </c>
      <c r="O5" s="15" t="s">
        <v>217</v>
      </c>
      <c r="P5" s="9" t="s">
        <v>215</v>
      </c>
      <c r="Q5" s="15" t="s">
        <v>216</v>
      </c>
    </row>
    <row r="6" spans="1:17" x14ac:dyDescent="0.25">
      <c r="A6" s="14" t="s">
        <v>33</v>
      </c>
      <c r="B6" s="15" t="s">
        <v>34</v>
      </c>
      <c r="C6" s="14" t="s">
        <v>35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5">
        <v>6</v>
      </c>
      <c r="J6" s="15">
        <v>7</v>
      </c>
      <c r="K6" s="15">
        <v>8</v>
      </c>
      <c r="L6" s="9">
        <v>9</v>
      </c>
      <c r="M6" s="15">
        <v>10</v>
      </c>
      <c r="N6" s="15">
        <v>11</v>
      </c>
      <c r="O6" s="15">
        <v>12</v>
      </c>
      <c r="P6" s="9">
        <v>13</v>
      </c>
      <c r="Q6" s="15">
        <v>14</v>
      </c>
    </row>
    <row r="7" spans="1:17" s="3" customFormat="1" ht="51" x14ac:dyDescent="0.25">
      <c r="A7" s="19"/>
      <c r="B7" s="19" t="s">
        <v>273</v>
      </c>
      <c r="C7" s="14" t="s">
        <v>116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x14ac:dyDescent="0.25">
      <c r="A8" s="18">
        <v>1</v>
      </c>
      <c r="B8" s="18"/>
      <c r="C8" s="14" t="s">
        <v>117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25">
      <c r="A9" s="18">
        <v>2</v>
      </c>
      <c r="B9" s="18"/>
      <c r="C9" s="14" t="s">
        <v>118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25">
      <c r="A10" s="18">
        <v>3</v>
      </c>
      <c r="B10" s="18"/>
      <c r="C10" s="14" t="s">
        <v>119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25">
      <c r="A11" s="18">
        <v>4</v>
      </c>
      <c r="B11" s="18"/>
      <c r="C11" s="14" t="s">
        <v>120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x14ac:dyDescent="0.25">
      <c r="A12" s="18">
        <v>5</v>
      </c>
      <c r="B12" s="18"/>
      <c r="C12" s="14" t="s">
        <v>121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x14ac:dyDescent="0.25">
      <c r="A13" s="18">
        <v>6</v>
      </c>
      <c r="B13" s="18"/>
      <c r="C13" s="14" t="s">
        <v>122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A14" s="18">
        <v>7</v>
      </c>
      <c r="B14" s="18"/>
      <c r="C14" s="14" t="s">
        <v>123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x14ac:dyDescent="0.25">
      <c r="A15" s="18">
        <v>8</v>
      </c>
      <c r="B15" s="18"/>
      <c r="C15" s="14" t="s">
        <v>124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x14ac:dyDescent="0.25">
      <c r="A16" s="18">
        <v>9</v>
      </c>
      <c r="B16" s="18"/>
      <c r="C16" s="14" t="s">
        <v>125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5">
      <c r="A17" s="18">
        <v>10</v>
      </c>
      <c r="B17" s="18"/>
      <c r="C17" s="14" t="s">
        <v>126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5">
      <c r="A18" s="18">
        <v>11</v>
      </c>
      <c r="B18" s="18"/>
      <c r="C18" s="14" t="s">
        <v>127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5">
      <c r="C19" s="2"/>
    </row>
    <row r="20" spans="1:17" ht="14.25" customHeight="1" x14ac:dyDescent="0.25">
      <c r="A20" s="2"/>
      <c r="B20" s="492" t="s">
        <v>15</v>
      </c>
      <c r="C20" s="2"/>
      <c r="D20" s="493" t="s">
        <v>57</v>
      </c>
      <c r="E20" s="493"/>
      <c r="F20" s="493"/>
      <c r="G20" s="493"/>
      <c r="H20" s="493" t="s">
        <v>57</v>
      </c>
      <c r="I20" s="493"/>
      <c r="J20" s="493"/>
      <c r="L20" s="3"/>
      <c r="P20" s="3"/>
    </row>
    <row r="21" spans="1:17" ht="14.25" customHeight="1" x14ac:dyDescent="0.25">
      <c r="A21" s="2"/>
      <c r="B21" s="492"/>
      <c r="C21" s="2"/>
      <c r="D21" s="494" t="s">
        <v>17</v>
      </c>
      <c r="E21" s="494"/>
      <c r="F21" s="494"/>
      <c r="G21" s="494"/>
      <c r="H21" s="494" t="s">
        <v>18</v>
      </c>
      <c r="I21" s="494"/>
      <c r="J21" s="494"/>
      <c r="L21" s="3"/>
      <c r="P21" s="3"/>
    </row>
    <row r="22" spans="1:17" ht="14.25" customHeight="1" x14ac:dyDescent="0.25">
      <c r="A22" s="13"/>
      <c r="B22" s="4"/>
      <c r="C22" s="5"/>
      <c r="D22" s="12" t="s">
        <v>19</v>
      </c>
      <c r="L22" s="3"/>
      <c r="P22" s="3"/>
    </row>
    <row r="23" spans="1:17" ht="14.25" customHeight="1" x14ac:dyDescent="0.25">
      <c r="A23" s="2"/>
      <c r="B23" s="491" t="s">
        <v>70</v>
      </c>
      <c r="C23" s="491"/>
      <c r="D23" s="491"/>
      <c r="L23" s="3"/>
      <c r="P23" s="3"/>
    </row>
  </sheetData>
  <mergeCells count="21">
    <mergeCell ref="B23:D23"/>
    <mergeCell ref="J4:J5"/>
    <mergeCell ref="K4:K5"/>
    <mergeCell ref="L4:M4"/>
    <mergeCell ref="N4:Q4"/>
    <mergeCell ref="B20:B21"/>
    <mergeCell ref="D20:G20"/>
    <mergeCell ref="H20:J20"/>
    <mergeCell ref="D21:G21"/>
    <mergeCell ref="H21:J21"/>
    <mergeCell ref="A1:Q1"/>
    <mergeCell ref="A3:A5"/>
    <mergeCell ref="B3:B5"/>
    <mergeCell ref="C3:C5"/>
    <mergeCell ref="D3:H3"/>
    <mergeCell ref="I3:Q3"/>
    <mergeCell ref="D4:D5"/>
    <mergeCell ref="E4:E5"/>
    <mergeCell ref="F4:F5"/>
    <mergeCell ref="G4:H4"/>
    <mergeCell ref="I4:I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25" workbookViewId="0">
      <selection activeCell="C35" sqref="C35"/>
    </sheetView>
  </sheetViews>
  <sheetFormatPr defaultRowHeight="15" x14ac:dyDescent="0.25"/>
  <cols>
    <col min="1" max="1" width="30.42578125" style="25" customWidth="1"/>
    <col min="2" max="2" width="21.85546875" style="25" customWidth="1"/>
    <col min="3" max="3" width="32.28515625" style="25" customWidth="1"/>
    <col min="4" max="16384" width="9.140625" style="25"/>
  </cols>
  <sheetData>
    <row r="1" spans="1:4" ht="43.5" customHeight="1" x14ac:dyDescent="0.25">
      <c r="C1" s="26" t="s">
        <v>668</v>
      </c>
    </row>
    <row r="2" spans="1:4" x14ac:dyDescent="0.25">
      <c r="C2" s="27" t="s">
        <v>669</v>
      </c>
    </row>
    <row r="3" spans="1:4" x14ac:dyDescent="0.25">
      <c r="C3" s="28" t="s">
        <v>276</v>
      </c>
    </row>
    <row r="4" spans="1:4" ht="10.5" customHeight="1" x14ac:dyDescent="0.25"/>
    <row r="5" spans="1:4" ht="18" x14ac:dyDescent="0.25">
      <c r="A5" s="427" t="s">
        <v>11</v>
      </c>
      <c r="B5" s="427"/>
      <c r="C5" s="427"/>
    </row>
    <row r="6" spans="1:4" ht="18" x14ac:dyDescent="0.25">
      <c r="A6" s="427" t="s">
        <v>12</v>
      </c>
      <c r="B6" s="427"/>
      <c r="C6" s="427"/>
    </row>
    <row r="7" spans="1:4" x14ac:dyDescent="0.25">
      <c r="A7" s="29"/>
    </row>
    <row r="8" spans="1:4" ht="39" customHeight="1" x14ac:dyDescent="0.25">
      <c r="A8" s="426" t="s">
        <v>427</v>
      </c>
      <c r="B8" s="426"/>
      <c r="C8" s="426"/>
    </row>
    <row r="9" spans="1:4" x14ac:dyDescent="0.25">
      <c r="A9" s="431" t="s">
        <v>23</v>
      </c>
      <c r="B9" s="431"/>
      <c r="C9" s="431"/>
    </row>
    <row r="10" spans="1:4" ht="15.75" x14ac:dyDescent="0.25">
      <c r="A10" s="515" t="s">
        <v>13</v>
      </c>
      <c r="B10" s="515"/>
      <c r="C10" s="515"/>
      <c r="D10" s="25" t="s">
        <v>349</v>
      </c>
    </row>
    <row r="11" spans="1:4" x14ac:dyDescent="0.25">
      <c r="A11" s="431" t="s">
        <v>22</v>
      </c>
      <c r="B11" s="431"/>
      <c r="C11" s="431"/>
    </row>
    <row r="12" spans="1:4" x14ac:dyDescent="0.25">
      <c r="A12" s="430"/>
      <c r="B12" s="430"/>
      <c r="C12" s="430"/>
    </row>
    <row r="13" spans="1:4" ht="15.75" x14ac:dyDescent="0.25">
      <c r="A13" s="426" t="s">
        <v>24</v>
      </c>
      <c r="B13" s="426"/>
      <c r="C13" s="426"/>
    </row>
    <row r="14" spans="1:4" ht="15.75" x14ac:dyDescent="0.25">
      <c r="A14" s="426" t="s">
        <v>25</v>
      </c>
      <c r="B14" s="426"/>
      <c r="C14" s="426"/>
    </row>
    <row r="15" spans="1:4" x14ac:dyDescent="0.25">
      <c r="A15" s="429" t="s">
        <v>21</v>
      </c>
      <c r="B15" s="429"/>
      <c r="C15" s="429"/>
    </row>
    <row r="16" spans="1:4" x14ac:dyDescent="0.25">
      <c r="A16" s="430"/>
      <c r="B16" s="430"/>
      <c r="C16" s="430"/>
    </row>
    <row r="17" spans="1:3" ht="15.75" x14ac:dyDescent="0.25">
      <c r="A17" s="426" t="s">
        <v>14</v>
      </c>
      <c r="B17" s="426"/>
      <c r="C17" s="426"/>
    </row>
    <row r="18" spans="1:3" x14ac:dyDescent="0.25">
      <c r="A18" s="430"/>
      <c r="B18" s="430"/>
      <c r="C18" s="430"/>
    </row>
    <row r="19" spans="1:3" ht="15.75" x14ac:dyDescent="0.25">
      <c r="A19" s="426" t="s">
        <v>347</v>
      </c>
      <c r="B19" s="426"/>
      <c r="C19" s="426"/>
    </row>
    <row r="20" spans="1:3" ht="15.75" x14ac:dyDescent="0.25">
      <c r="A20" s="426" t="s">
        <v>348</v>
      </c>
      <c r="B20" s="426"/>
      <c r="C20" s="426"/>
    </row>
    <row r="21" spans="1:3" ht="15.75" x14ac:dyDescent="0.25">
      <c r="A21" s="426" t="s">
        <v>568</v>
      </c>
      <c r="B21" s="426"/>
      <c r="C21" s="426"/>
    </row>
    <row r="22" spans="1:3" ht="15.75" x14ac:dyDescent="0.25">
      <c r="A22" s="426" t="s">
        <v>569</v>
      </c>
      <c r="B22" s="426"/>
      <c r="C22" s="426"/>
    </row>
    <row r="23" spans="1:3" ht="30.75" customHeight="1" x14ac:dyDescent="0.25">
      <c r="A23" s="426" t="s">
        <v>570</v>
      </c>
      <c r="B23" s="426"/>
      <c r="C23" s="426"/>
    </row>
    <row r="24" spans="1:3" ht="15.75" customHeight="1" x14ac:dyDescent="0.25">
      <c r="A24" s="426" t="s">
        <v>571</v>
      </c>
      <c r="B24" s="426"/>
      <c r="C24" s="426"/>
    </row>
    <row r="25" spans="1:3" ht="15.75" customHeight="1" x14ac:dyDescent="0.25">
      <c r="A25" s="426" t="s">
        <v>572</v>
      </c>
      <c r="B25" s="426"/>
      <c r="C25" s="426"/>
    </row>
    <row r="26" spans="1:3" ht="15.75" customHeight="1" x14ac:dyDescent="0.25">
      <c r="A26" s="426" t="s">
        <v>573</v>
      </c>
      <c r="B26" s="426"/>
      <c r="C26" s="426"/>
    </row>
    <row r="27" spans="1:3" ht="15.75" customHeight="1" x14ac:dyDescent="0.25">
      <c r="A27" s="426" t="s">
        <v>574</v>
      </c>
      <c r="B27" s="426"/>
      <c r="C27" s="426"/>
    </row>
    <row r="28" spans="1:3" ht="15.75" customHeight="1" x14ac:dyDescent="0.25">
      <c r="A28" s="426" t="s">
        <v>575</v>
      </c>
      <c r="B28" s="426"/>
      <c r="C28" s="426"/>
    </row>
    <row r="29" spans="1:3" ht="15.75" customHeight="1" x14ac:dyDescent="0.25">
      <c r="A29" s="426" t="s">
        <v>576</v>
      </c>
      <c r="B29" s="426"/>
      <c r="C29" s="426"/>
    </row>
    <row r="30" spans="1:3" ht="15.75" customHeight="1" x14ac:dyDescent="0.25">
      <c r="A30" s="426" t="s">
        <v>577</v>
      </c>
      <c r="B30" s="426"/>
      <c r="C30" s="426"/>
    </row>
    <row r="31" spans="1:3" ht="15.75" customHeight="1" x14ac:dyDescent="0.25">
      <c r="A31" s="426" t="s">
        <v>578</v>
      </c>
      <c r="B31" s="426"/>
      <c r="C31" s="426"/>
    </row>
    <row r="32" spans="1:3" ht="15.75" customHeight="1" x14ac:dyDescent="0.25">
      <c r="A32" s="426" t="s">
        <v>579</v>
      </c>
      <c r="B32" s="426"/>
      <c r="C32" s="426"/>
    </row>
    <row r="33" spans="1:3" ht="15.75" customHeight="1" x14ac:dyDescent="0.25">
      <c r="A33" s="426" t="s">
        <v>580</v>
      </c>
      <c r="B33" s="426"/>
      <c r="C33" s="426"/>
    </row>
    <row r="34" spans="1:3" ht="15.75" x14ac:dyDescent="0.25">
      <c r="A34" s="426"/>
      <c r="B34" s="426"/>
      <c r="C34" s="426"/>
    </row>
    <row r="35" spans="1:3" ht="24.75" customHeight="1" x14ac:dyDescent="0.25">
      <c r="A35" s="428" t="s">
        <v>15</v>
      </c>
      <c r="B35" s="516" t="s">
        <v>16</v>
      </c>
      <c r="C35" s="30" t="s">
        <v>611</v>
      </c>
    </row>
    <row r="36" spans="1:3" x14ac:dyDescent="0.25">
      <c r="A36" s="428"/>
      <c r="B36" s="31" t="s">
        <v>17</v>
      </c>
      <c r="C36" s="31" t="s">
        <v>18</v>
      </c>
    </row>
    <row r="37" spans="1:3" ht="15.75" x14ac:dyDescent="0.25">
      <c r="A37" s="32"/>
      <c r="B37" s="32" t="s">
        <v>19</v>
      </c>
      <c r="C37" s="33"/>
    </row>
    <row r="38" spans="1:3" ht="15.75" x14ac:dyDescent="0.25">
      <c r="A38" s="515" t="s">
        <v>20</v>
      </c>
      <c r="B38" s="515"/>
      <c r="C38" s="515"/>
    </row>
  </sheetData>
  <mergeCells count="31">
    <mergeCell ref="A21:C21"/>
    <mergeCell ref="A22:C22"/>
    <mergeCell ref="A23:C23"/>
    <mergeCell ref="A33:C33"/>
    <mergeCell ref="A24:C24"/>
    <mergeCell ref="A27:C27"/>
    <mergeCell ref="A26:C26"/>
    <mergeCell ref="A28:C28"/>
    <mergeCell ref="A31:C31"/>
    <mergeCell ref="A30:C30"/>
    <mergeCell ref="A9:C9"/>
    <mergeCell ref="A10:C10"/>
    <mergeCell ref="A11:C11"/>
    <mergeCell ref="A12:C12"/>
    <mergeCell ref="A13:C13"/>
    <mergeCell ref="A38:C38"/>
    <mergeCell ref="A5:C5"/>
    <mergeCell ref="A6:C6"/>
    <mergeCell ref="A20:C20"/>
    <mergeCell ref="A25:C25"/>
    <mergeCell ref="A29:C29"/>
    <mergeCell ref="A32:C32"/>
    <mergeCell ref="A34:C34"/>
    <mergeCell ref="A35:A36"/>
    <mergeCell ref="A14:C14"/>
    <mergeCell ref="A15:C15"/>
    <mergeCell ref="A16:C16"/>
    <mergeCell ref="A17:C17"/>
    <mergeCell ref="A18:C18"/>
    <mergeCell ref="A19:C19"/>
    <mergeCell ref="A8:C8"/>
  </mergeCells>
  <pageMargins left="0.98425196850393704" right="0.39370078740157483" top="0.74803149606299213" bottom="0.74803149606299213" header="0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2" zoomScaleNormal="82" workbookViewId="0">
      <pane ySplit="10" topLeftCell="A23" activePane="bottomLeft" state="frozenSplit"/>
      <selection activeCell="H27" sqref="H27"/>
      <selection pane="bottomLeft" activeCell="I3" sqref="I3"/>
    </sheetView>
  </sheetViews>
  <sheetFormatPr defaultRowHeight="15" x14ac:dyDescent="0.25"/>
  <cols>
    <col min="1" max="1" width="4.140625" style="34" customWidth="1"/>
    <col min="2" max="2" width="55.28515625" style="26" customWidth="1"/>
    <col min="3" max="3" width="9.85546875" style="34" customWidth="1"/>
    <col min="4" max="4" width="16.85546875" style="25" customWidth="1"/>
    <col min="5" max="5" width="14.7109375" style="25" customWidth="1"/>
    <col min="6" max="6" width="16" style="25" customWidth="1"/>
    <col min="7" max="7" width="14.7109375" style="35" customWidth="1"/>
    <col min="8" max="8" width="10.5703125" style="25" bestFit="1" customWidth="1"/>
    <col min="9" max="16384" width="9.140625" style="25"/>
  </cols>
  <sheetData>
    <row r="1" spans="1:9" ht="15.75" x14ac:dyDescent="0.25">
      <c r="D1" s="435" t="s">
        <v>29</v>
      </c>
      <c r="E1" s="435"/>
      <c r="F1" s="435"/>
    </row>
    <row r="2" spans="1:9" ht="69" customHeight="1" x14ac:dyDescent="0.25">
      <c r="D2" s="436" t="s">
        <v>670</v>
      </c>
      <c r="E2" s="436"/>
      <c r="F2" s="436"/>
      <c r="I2" s="26"/>
    </row>
    <row r="3" spans="1:9" x14ac:dyDescent="0.25">
      <c r="E3" s="27"/>
      <c r="F3" s="27" t="s">
        <v>664</v>
      </c>
    </row>
    <row r="4" spans="1:9" ht="15.75" x14ac:dyDescent="0.25">
      <c r="D4" s="405" t="s">
        <v>665</v>
      </c>
      <c r="E4" s="405"/>
      <c r="F4" s="405" t="s">
        <v>666</v>
      </c>
    </row>
    <row r="5" spans="1:9" ht="36" customHeight="1" x14ac:dyDescent="0.25">
      <c r="A5" s="432" t="s">
        <v>433</v>
      </c>
      <c r="B5" s="432"/>
      <c r="C5" s="432"/>
      <c r="D5" s="432"/>
      <c r="E5" s="432"/>
      <c r="F5" s="432"/>
    </row>
    <row r="6" spans="1:9" ht="35.25" customHeight="1" x14ac:dyDescent="0.25">
      <c r="A6" s="433" t="s">
        <v>428</v>
      </c>
      <c r="B6" s="433"/>
      <c r="C6" s="433"/>
      <c r="D6" s="433"/>
      <c r="E6" s="433"/>
      <c r="F6" s="433"/>
    </row>
    <row r="7" spans="1:9" ht="15.75" x14ac:dyDescent="0.25">
      <c r="A7" s="434" t="s">
        <v>30</v>
      </c>
      <c r="B7" s="434"/>
      <c r="C7" s="434"/>
      <c r="D7" s="434"/>
      <c r="E7" s="434"/>
      <c r="F7" s="434"/>
    </row>
    <row r="8" spans="1:9" x14ac:dyDescent="0.25">
      <c r="F8" s="25" t="s">
        <v>397</v>
      </c>
    </row>
    <row r="9" spans="1:9" s="41" customFormat="1" ht="47.25" x14ac:dyDescent="0.25">
      <c r="A9" s="37" t="s">
        <v>0</v>
      </c>
      <c r="B9" s="38" t="s">
        <v>31</v>
      </c>
      <c r="C9" s="37" t="s">
        <v>32</v>
      </c>
      <c r="D9" s="39" t="s">
        <v>632</v>
      </c>
      <c r="E9" s="38" t="s">
        <v>365</v>
      </c>
      <c r="F9" s="38" t="s">
        <v>633</v>
      </c>
      <c r="G9" s="40"/>
    </row>
    <row r="10" spans="1:9" ht="15.75" x14ac:dyDescent="0.25">
      <c r="A10" s="42" t="s">
        <v>33</v>
      </c>
      <c r="B10" s="43" t="s">
        <v>34</v>
      </c>
      <c r="C10" s="42" t="s">
        <v>35</v>
      </c>
      <c r="D10" s="43">
        <v>1</v>
      </c>
      <c r="E10" s="43">
        <v>2</v>
      </c>
      <c r="F10" s="43">
        <v>3</v>
      </c>
    </row>
    <row r="11" spans="1:9" s="3" customFormat="1" ht="29.25" customHeight="1" x14ac:dyDescent="0.25">
      <c r="A11" s="44">
        <v>1</v>
      </c>
      <c r="B11" s="45" t="s">
        <v>36</v>
      </c>
      <c r="C11" s="42" t="s">
        <v>116</v>
      </c>
      <c r="D11" s="46">
        <f>D12+D13+D14+D15</f>
        <v>0</v>
      </c>
      <c r="E11" s="46">
        <f>E12+E13+E14+E15</f>
        <v>0</v>
      </c>
      <c r="F11" s="46">
        <f>F12+F13+F14+F15</f>
        <v>0</v>
      </c>
      <c r="G11" s="47"/>
    </row>
    <row r="12" spans="1:9" ht="15.75" x14ac:dyDescent="0.25">
      <c r="A12" s="48" t="s">
        <v>59</v>
      </c>
      <c r="B12" s="49" t="s">
        <v>37</v>
      </c>
      <c r="C12" s="42" t="s">
        <v>117</v>
      </c>
      <c r="D12" s="50">
        <f>обсяги_факт!P5/1000</f>
        <v>0</v>
      </c>
      <c r="E12" s="50">
        <v>0</v>
      </c>
      <c r="F12" s="50">
        <v>0</v>
      </c>
    </row>
    <row r="13" spans="1:9" ht="15.75" x14ac:dyDescent="0.25">
      <c r="A13" s="48" t="s">
        <v>60</v>
      </c>
      <c r="B13" s="49" t="s">
        <v>38</v>
      </c>
      <c r="C13" s="42" t="s">
        <v>118</v>
      </c>
      <c r="D13" s="50">
        <f>обсяги_факт!P6/1000</f>
        <v>0</v>
      </c>
      <c r="E13" s="50">
        <v>0</v>
      </c>
      <c r="F13" s="50">
        <v>0</v>
      </c>
    </row>
    <row r="14" spans="1:9" ht="15.75" x14ac:dyDescent="0.25">
      <c r="A14" s="48" t="s">
        <v>61</v>
      </c>
      <c r="B14" s="49" t="s">
        <v>39</v>
      </c>
      <c r="C14" s="42" t="s">
        <v>119</v>
      </c>
      <c r="D14" s="50">
        <f>обсяги_факт!P7/1000</f>
        <v>0</v>
      </c>
      <c r="E14" s="50">
        <v>0</v>
      </c>
      <c r="F14" s="50">
        <v>0</v>
      </c>
    </row>
    <row r="15" spans="1:9" ht="15.75" x14ac:dyDescent="0.25">
      <c r="A15" s="48" t="s">
        <v>62</v>
      </c>
      <c r="B15" s="49" t="s">
        <v>40</v>
      </c>
      <c r="C15" s="42" t="s">
        <v>120</v>
      </c>
      <c r="D15" s="50">
        <f>обсяги_факт!P8/1000</f>
        <v>0</v>
      </c>
      <c r="E15" s="50">
        <v>0</v>
      </c>
      <c r="F15" s="50">
        <v>0</v>
      </c>
    </row>
    <row r="16" spans="1:9" s="3" customFormat="1" ht="29.25" customHeight="1" x14ac:dyDescent="0.25">
      <c r="A16" s="44">
        <v>2</v>
      </c>
      <c r="B16" s="45" t="s">
        <v>41</v>
      </c>
      <c r="C16" s="42" t="s">
        <v>121</v>
      </c>
      <c r="D16" s="46">
        <f>обсяги_факт!P9/1000</f>
        <v>0</v>
      </c>
      <c r="E16" s="46">
        <v>0</v>
      </c>
      <c r="F16" s="46">
        <v>0</v>
      </c>
      <c r="G16" s="47"/>
    </row>
    <row r="17" spans="1:10" s="3" customFormat="1" ht="29.25" customHeight="1" x14ac:dyDescent="0.25">
      <c r="A17" s="44">
        <v>3</v>
      </c>
      <c r="B17" s="45" t="s">
        <v>42</v>
      </c>
      <c r="C17" s="42" t="s">
        <v>122</v>
      </c>
      <c r="D17" s="46">
        <f>обсяги_факт!P10/1000</f>
        <v>0</v>
      </c>
      <c r="E17" s="46">
        <v>0</v>
      </c>
      <c r="F17" s="46">
        <v>0</v>
      </c>
      <c r="G17" s="47"/>
    </row>
    <row r="18" spans="1:10" s="3" customFormat="1" ht="15.75" x14ac:dyDescent="0.25">
      <c r="A18" s="44">
        <v>4</v>
      </c>
      <c r="B18" s="45" t="s">
        <v>43</v>
      </c>
      <c r="C18" s="42" t="s">
        <v>123</v>
      </c>
      <c r="D18" s="46">
        <f>обсяги_факт!P11/1000</f>
        <v>0</v>
      </c>
      <c r="E18" s="46">
        <v>0</v>
      </c>
      <c r="F18" s="46">
        <v>0</v>
      </c>
      <c r="G18" s="47"/>
    </row>
    <row r="19" spans="1:10" s="3" customFormat="1" ht="29.25" customHeight="1" x14ac:dyDescent="0.25">
      <c r="A19" s="44">
        <v>5</v>
      </c>
      <c r="B19" s="45" t="s">
        <v>44</v>
      </c>
      <c r="C19" s="42" t="s">
        <v>124</v>
      </c>
      <c r="D19" s="46">
        <f>D20</f>
        <v>99.691000000000003</v>
      </c>
      <c r="E19" s="46">
        <f>E20</f>
        <v>153</v>
      </c>
      <c r="F19" s="46">
        <f>F20</f>
        <v>119</v>
      </c>
      <c r="G19" s="47"/>
    </row>
    <row r="20" spans="1:10" ht="15.75" x14ac:dyDescent="0.25">
      <c r="A20" s="48" t="s">
        <v>63</v>
      </c>
      <c r="B20" s="49" t="s">
        <v>45</v>
      </c>
      <c r="C20" s="42" t="s">
        <v>125</v>
      </c>
      <c r="D20" s="50">
        <f>обсяги_факт!P13/1000</f>
        <v>99.691000000000003</v>
      </c>
      <c r="E20" s="50">
        <v>153</v>
      </c>
      <c r="F20" s="51">
        <v>119</v>
      </c>
      <c r="G20" s="52"/>
    </row>
    <row r="21" spans="1:10" s="3" customFormat="1" ht="29.25" customHeight="1" x14ac:dyDescent="0.25">
      <c r="A21" s="44">
        <v>6</v>
      </c>
      <c r="B21" s="45" t="s">
        <v>46</v>
      </c>
      <c r="C21" s="42" t="s">
        <v>126</v>
      </c>
      <c r="D21" s="46">
        <f>D23+D24</f>
        <v>0</v>
      </c>
      <c r="E21" s="46">
        <f>E23+E24</f>
        <v>0</v>
      </c>
      <c r="F21" s="46">
        <f>F23+F24</f>
        <v>0</v>
      </c>
      <c r="G21" s="348"/>
      <c r="J21" s="54"/>
    </row>
    <row r="22" spans="1:10" s="3" customFormat="1" ht="15.75" x14ac:dyDescent="0.25">
      <c r="A22" s="44"/>
      <c r="B22" s="55" t="s">
        <v>396</v>
      </c>
      <c r="C22" s="42"/>
      <c r="D22" s="56">
        <f t="shared" ref="D22" si="0">D21/D19</f>
        <v>0</v>
      </c>
      <c r="E22" s="56">
        <f>E21/E19</f>
        <v>0</v>
      </c>
      <c r="F22" s="56">
        <f>F21/F19</f>
        <v>0</v>
      </c>
      <c r="G22" s="349"/>
      <c r="J22" s="54"/>
    </row>
    <row r="23" spans="1:10" ht="29.25" customHeight="1" x14ac:dyDescent="0.25">
      <c r="A23" s="48" t="s">
        <v>64</v>
      </c>
      <c r="B23" s="49" t="s">
        <v>47</v>
      </c>
      <c r="C23" s="42" t="s">
        <v>127</v>
      </c>
      <c r="D23" s="51">
        <f>обсяги_факт!P16/1000</f>
        <v>0</v>
      </c>
      <c r="E23" s="51">
        <v>0</v>
      </c>
      <c r="F23" s="50">
        <v>0</v>
      </c>
      <c r="G23" s="58"/>
      <c r="J23" s="59"/>
    </row>
    <row r="24" spans="1:10" ht="15.75" x14ac:dyDescent="0.25">
      <c r="A24" s="48" t="s">
        <v>65</v>
      </c>
      <c r="B24" s="49" t="s">
        <v>48</v>
      </c>
      <c r="C24" s="42" t="s">
        <v>128</v>
      </c>
      <c r="D24" s="50">
        <f>обсяги_факт!P17/1000</f>
        <v>0</v>
      </c>
      <c r="E24" s="50">
        <v>0</v>
      </c>
      <c r="F24" s="50">
        <v>0</v>
      </c>
      <c r="G24" s="53"/>
    </row>
    <row r="25" spans="1:10" s="3" customFormat="1" ht="29.25" customHeight="1" x14ac:dyDescent="0.25">
      <c r="A25" s="44">
        <v>7</v>
      </c>
      <c r="B25" s="45" t="s">
        <v>49</v>
      </c>
      <c r="C25" s="42" t="s">
        <v>129</v>
      </c>
      <c r="D25" s="46">
        <f>обсяги_факт!P18/1000</f>
        <v>0</v>
      </c>
      <c r="E25" s="46">
        <v>0</v>
      </c>
      <c r="F25" s="46">
        <v>0</v>
      </c>
      <c r="G25" s="53"/>
    </row>
    <row r="26" spans="1:10" s="3" customFormat="1" ht="31.5" x14ac:dyDescent="0.25">
      <c r="A26" s="44">
        <v>8</v>
      </c>
      <c r="B26" s="45" t="s">
        <v>50</v>
      </c>
      <c r="C26" s="42" t="s">
        <v>130</v>
      </c>
      <c r="D26" s="46">
        <f>D19-D21-D28</f>
        <v>16.02600000000001</v>
      </c>
      <c r="E26" s="46">
        <f>E19-E21-E28</f>
        <v>31.359999999999985</v>
      </c>
      <c r="F26" s="46">
        <f>F19-F21-F28</f>
        <v>19</v>
      </c>
      <c r="G26" s="58"/>
    </row>
    <row r="27" spans="1:10" s="3" customFormat="1" ht="31.5" x14ac:dyDescent="0.25">
      <c r="A27" s="44"/>
      <c r="B27" s="55" t="s">
        <v>398</v>
      </c>
      <c r="C27" s="42"/>
      <c r="D27" s="60">
        <f>D26/D19</f>
        <v>0.16075673832141327</v>
      </c>
      <c r="E27" s="60">
        <f>E26/E19</f>
        <v>0.20496732026143782</v>
      </c>
      <c r="F27" s="60">
        <f>F26/F19</f>
        <v>0.15966386554621848</v>
      </c>
      <c r="G27" s="57">
        <v>0.27995999999999999</v>
      </c>
    </row>
    <row r="28" spans="1:10" s="3" customFormat="1" ht="31.5" x14ac:dyDescent="0.25">
      <c r="A28" s="44">
        <v>9</v>
      </c>
      <c r="B28" s="45" t="s">
        <v>51</v>
      </c>
      <c r="C28" s="42" t="s">
        <v>131</v>
      </c>
      <c r="D28" s="46">
        <f>D29+D30+D31+D32</f>
        <v>83.664999999999992</v>
      </c>
      <c r="E28" s="46">
        <f>E29+E30+E31+E32</f>
        <v>121.64000000000001</v>
      </c>
      <c r="F28" s="46">
        <f>F29+F30+F31+F32</f>
        <v>100</v>
      </c>
      <c r="G28" s="52"/>
      <c r="H28" s="347">
        <f>D28/12</f>
        <v>6.972083333333333</v>
      </c>
    </row>
    <row r="29" spans="1:10" ht="15.75" x14ac:dyDescent="0.25">
      <c r="A29" s="48" t="s">
        <v>66</v>
      </c>
      <c r="B29" s="49" t="s">
        <v>52</v>
      </c>
      <c r="C29" s="42" t="s">
        <v>132</v>
      </c>
      <c r="D29" s="51">
        <f>обсяги_факт!P22/1000</f>
        <v>61.348999999999997</v>
      </c>
      <c r="E29" s="51">
        <v>75</v>
      </c>
      <c r="F29" s="51">
        <v>77</v>
      </c>
      <c r="G29" s="52"/>
      <c r="H29" s="3"/>
    </row>
    <row r="30" spans="1:10" ht="15.75" x14ac:dyDescent="0.25">
      <c r="A30" s="48" t="s">
        <v>67</v>
      </c>
      <c r="B30" s="49" t="s">
        <v>53</v>
      </c>
      <c r="C30" s="42" t="s">
        <v>133</v>
      </c>
      <c r="D30" s="379">
        <f>обсяги_факт!P23/1000</f>
        <v>1.885</v>
      </c>
      <c r="E30" s="51">
        <v>2.04</v>
      </c>
      <c r="F30" s="379">
        <v>2</v>
      </c>
      <c r="G30" s="61"/>
      <c r="H30" s="62"/>
    </row>
    <row r="31" spans="1:10" ht="15.75" x14ac:dyDescent="0.25">
      <c r="A31" s="48" t="s">
        <v>68</v>
      </c>
      <c r="B31" s="49" t="s">
        <v>54</v>
      </c>
      <c r="C31" s="42" t="s">
        <v>134</v>
      </c>
      <c r="D31" s="51">
        <f>обсяги_факт!P24/1000</f>
        <v>20.431000000000001</v>
      </c>
      <c r="E31" s="51">
        <v>44.6</v>
      </c>
      <c r="F31" s="51">
        <v>21</v>
      </c>
      <c r="G31" s="61"/>
      <c r="H31" s="62"/>
    </row>
    <row r="32" spans="1:10" ht="15.75" x14ac:dyDescent="0.25">
      <c r="A32" s="48" t="s">
        <v>69</v>
      </c>
      <c r="B32" s="49" t="s">
        <v>55</v>
      </c>
      <c r="C32" s="42" t="s">
        <v>135</v>
      </c>
      <c r="D32" s="51">
        <f>обсяги_факт!P25/1000</f>
        <v>0</v>
      </c>
      <c r="E32" s="50">
        <v>0</v>
      </c>
      <c r="F32" s="51">
        <v>0</v>
      </c>
      <c r="G32" s="61"/>
      <c r="H32" s="62"/>
    </row>
    <row r="33" spans="1:6" ht="15.75" x14ac:dyDescent="0.25">
      <c r="A33" s="63"/>
      <c r="B33" s="64"/>
      <c r="C33" s="65"/>
      <c r="D33" s="66" t="s">
        <v>626</v>
      </c>
      <c r="E33" s="66" t="s">
        <v>626</v>
      </c>
      <c r="F33" s="418" t="s">
        <v>626</v>
      </c>
    </row>
    <row r="34" spans="1:6" ht="14.25" customHeight="1" x14ac:dyDescent="0.25">
      <c r="A34" s="67"/>
    </row>
    <row r="35" spans="1:6" ht="14.25" customHeight="1" x14ac:dyDescent="0.25">
      <c r="B35" s="438" t="s">
        <v>15</v>
      </c>
      <c r="C35" s="68"/>
      <c r="D35" s="437" t="s">
        <v>611</v>
      </c>
      <c r="E35" s="437"/>
      <c r="F35" s="437"/>
    </row>
    <row r="36" spans="1:6" ht="14.25" customHeight="1" x14ac:dyDescent="0.25">
      <c r="B36" s="438"/>
      <c r="C36" s="69" t="s">
        <v>17</v>
      </c>
      <c r="D36" s="431" t="s">
        <v>18</v>
      </c>
      <c r="E36" s="431"/>
      <c r="F36" s="431"/>
    </row>
    <row r="37" spans="1:6" ht="14.25" customHeight="1" x14ac:dyDescent="0.25">
      <c r="A37" s="70"/>
      <c r="C37" s="32" t="s">
        <v>19</v>
      </c>
    </row>
    <row r="38" spans="1:6" ht="15.75" x14ac:dyDescent="0.25">
      <c r="B38" s="426" t="s">
        <v>647</v>
      </c>
      <c r="C38" s="426"/>
    </row>
  </sheetData>
  <mergeCells count="9">
    <mergeCell ref="B38:C38"/>
    <mergeCell ref="A5:F5"/>
    <mergeCell ref="A6:F6"/>
    <mergeCell ref="A7:F7"/>
    <mergeCell ref="D1:F1"/>
    <mergeCell ref="D2:F2"/>
    <mergeCell ref="D35:F35"/>
    <mergeCell ref="D36:F36"/>
    <mergeCell ref="B35:B36"/>
  </mergeCells>
  <pageMargins left="0.78740157480314965" right="0.39370078740157483" top="0.39370078740157483" bottom="0.39370078740157483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86" zoomScaleNormal="86" workbookViewId="0">
      <pane xSplit="3" ySplit="3" topLeftCell="H4" activePane="bottomRight" state="frozenSplit"/>
      <selection pane="topRight" activeCell="C1" sqref="C1"/>
      <selection pane="bottomLeft" activeCell="A3" sqref="A3"/>
      <selection pane="bottomRight" activeCell="AD26" sqref="AD26"/>
    </sheetView>
  </sheetViews>
  <sheetFormatPr defaultRowHeight="15" x14ac:dyDescent="0.25"/>
  <cols>
    <col min="1" max="1" width="4.140625" style="34" customWidth="1"/>
    <col min="2" max="2" width="66.140625" style="26" customWidth="1"/>
    <col min="3" max="3" width="9.85546875" style="34" customWidth="1"/>
    <col min="4" max="4" width="10.42578125" style="34" bestFit="1" customWidth="1"/>
    <col min="5" max="13" width="10.28515625" style="34" bestFit="1" customWidth="1"/>
    <col min="14" max="14" width="10.42578125" style="34" bestFit="1" customWidth="1"/>
    <col min="15" max="15" width="10.28515625" style="34" bestFit="1" customWidth="1"/>
    <col min="16" max="16" width="11.140625" style="3" customWidth="1"/>
    <col min="17" max="19" width="10.140625" style="25" hidden="1" customWidth="1"/>
    <col min="20" max="24" width="9.140625" style="25" hidden="1" customWidth="1"/>
    <col min="25" max="25" width="9.85546875" style="25" hidden="1" customWidth="1"/>
    <col min="26" max="26" width="9.28515625" style="25" hidden="1" customWidth="1"/>
    <col min="27" max="27" width="10.140625" style="25" hidden="1" customWidth="1"/>
    <col min="28" max="28" width="9.140625" style="25" hidden="1" customWidth="1"/>
    <col min="29" max="29" width="10" style="25" hidden="1" customWidth="1"/>
    <col min="30" max="30" width="10.140625" style="25" bestFit="1" customWidth="1"/>
    <col min="31" max="16384" width="9.140625" style="25"/>
  </cols>
  <sheetData>
    <row r="1" spans="1:31" x14ac:dyDescent="0.25">
      <c r="B1" s="26" t="s">
        <v>612</v>
      </c>
    </row>
    <row r="2" spans="1:31" ht="57" customHeight="1" x14ac:dyDescent="0.25">
      <c r="A2" s="71" t="s">
        <v>0</v>
      </c>
      <c r="B2" s="72" t="s">
        <v>31</v>
      </c>
      <c r="C2" s="71" t="s">
        <v>32</v>
      </c>
      <c r="D2" s="73" t="s">
        <v>366</v>
      </c>
      <c r="E2" s="73" t="s">
        <v>367</v>
      </c>
      <c r="F2" s="73" t="s">
        <v>368</v>
      </c>
      <c r="G2" s="73" t="s">
        <v>370</v>
      </c>
      <c r="H2" s="73" t="s">
        <v>371</v>
      </c>
      <c r="I2" s="73" t="s">
        <v>369</v>
      </c>
      <c r="J2" s="73" t="s">
        <v>372</v>
      </c>
      <c r="K2" s="74" t="s">
        <v>373</v>
      </c>
      <c r="L2" s="74" t="s">
        <v>374</v>
      </c>
      <c r="M2" s="74" t="s">
        <v>375</v>
      </c>
      <c r="N2" s="74" t="s">
        <v>379</v>
      </c>
      <c r="O2" s="74" t="s">
        <v>380</v>
      </c>
      <c r="P2" s="75" t="s">
        <v>631</v>
      </c>
      <c r="Q2" s="73" t="s">
        <v>366</v>
      </c>
      <c r="R2" s="73" t="s">
        <v>367</v>
      </c>
      <c r="S2" s="73" t="s">
        <v>368</v>
      </c>
      <c r="T2" s="73" t="s">
        <v>370</v>
      </c>
      <c r="U2" s="73" t="s">
        <v>371</v>
      </c>
      <c r="V2" s="73" t="s">
        <v>369</v>
      </c>
      <c r="W2" s="73" t="s">
        <v>372</v>
      </c>
      <c r="X2" s="74" t="s">
        <v>373</v>
      </c>
      <c r="Y2" s="74" t="s">
        <v>374</v>
      </c>
      <c r="Z2" s="74" t="s">
        <v>375</v>
      </c>
      <c r="AA2" s="74" t="s">
        <v>379</v>
      </c>
      <c r="AB2" s="74" t="s">
        <v>380</v>
      </c>
      <c r="AC2" s="75" t="s">
        <v>395</v>
      </c>
    </row>
    <row r="3" spans="1:31" x14ac:dyDescent="0.25">
      <c r="A3" s="76" t="s">
        <v>33</v>
      </c>
      <c r="B3" s="77" t="s">
        <v>34</v>
      </c>
      <c r="C3" s="76" t="s">
        <v>35</v>
      </c>
      <c r="D3" s="76" t="s">
        <v>282</v>
      </c>
      <c r="E3" s="76" t="s">
        <v>319</v>
      </c>
      <c r="F3" s="76" t="s">
        <v>325</v>
      </c>
      <c r="G3" s="76" t="s">
        <v>331</v>
      </c>
      <c r="H3" s="76" t="s">
        <v>332</v>
      </c>
      <c r="I3" s="76" t="s">
        <v>333</v>
      </c>
      <c r="J3" s="76" t="s">
        <v>335</v>
      </c>
      <c r="K3" s="76" t="s">
        <v>340</v>
      </c>
      <c r="L3" s="76" t="s">
        <v>376</v>
      </c>
      <c r="M3" s="76" t="s">
        <v>343</v>
      </c>
      <c r="N3" s="76" t="s">
        <v>377</v>
      </c>
      <c r="O3" s="76" t="s">
        <v>378</v>
      </c>
      <c r="P3" s="76" t="s">
        <v>381</v>
      </c>
      <c r="Q3" s="76" t="s">
        <v>382</v>
      </c>
      <c r="R3" s="76" t="s">
        <v>383</v>
      </c>
      <c r="S3" s="76" t="s">
        <v>384</v>
      </c>
      <c r="T3" s="76" t="s">
        <v>385</v>
      </c>
      <c r="U3" s="76" t="s">
        <v>386</v>
      </c>
      <c r="V3" s="76" t="s">
        <v>387</v>
      </c>
      <c r="W3" s="76" t="s">
        <v>388</v>
      </c>
      <c r="X3" s="76" t="s">
        <v>389</v>
      </c>
      <c r="Y3" s="76" t="s">
        <v>390</v>
      </c>
      <c r="Z3" s="76" t="s">
        <v>391</v>
      </c>
      <c r="AA3" s="76" t="s">
        <v>392</v>
      </c>
      <c r="AB3" s="76" t="s">
        <v>393</v>
      </c>
      <c r="AC3" s="76" t="s">
        <v>394</v>
      </c>
    </row>
    <row r="4" spans="1:31" s="82" customFormat="1" x14ac:dyDescent="0.25">
      <c r="A4" s="78">
        <v>1</v>
      </c>
      <c r="B4" s="79" t="s">
        <v>36</v>
      </c>
      <c r="C4" s="80" t="s">
        <v>116</v>
      </c>
      <c r="D4" s="81">
        <f>D5+D6+D7+D8</f>
        <v>0</v>
      </c>
      <c r="E4" s="81">
        <f t="shared" ref="E4:O4" si="0">E5+E6+E7+E8</f>
        <v>0</v>
      </c>
      <c r="F4" s="81">
        <f t="shared" si="0"/>
        <v>0</v>
      </c>
      <c r="G4" s="81">
        <f t="shared" si="0"/>
        <v>0</v>
      </c>
      <c r="H4" s="81">
        <f t="shared" si="0"/>
        <v>0</v>
      </c>
      <c r="I4" s="81">
        <f t="shared" si="0"/>
        <v>0</v>
      </c>
      <c r="J4" s="81">
        <f t="shared" si="0"/>
        <v>0</v>
      </c>
      <c r="K4" s="81">
        <f t="shared" si="0"/>
        <v>0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1">
        <f>SUM(D4:O4)</f>
        <v>0</v>
      </c>
      <c r="Q4" s="81">
        <f>Q5+Q6+Q7+Q8</f>
        <v>0</v>
      </c>
      <c r="R4" s="81">
        <f t="shared" ref="R4:AB4" si="1">R5+R6+R7+R8</f>
        <v>0</v>
      </c>
      <c r="S4" s="81">
        <f t="shared" si="1"/>
        <v>0</v>
      </c>
      <c r="T4" s="81">
        <f t="shared" si="1"/>
        <v>0</v>
      </c>
      <c r="U4" s="81">
        <f t="shared" si="1"/>
        <v>0</v>
      </c>
      <c r="V4" s="81">
        <f t="shared" si="1"/>
        <v>0</v>
      </c>
      <c r="W4" s="81">
        <f t="shared" si="1"/>
        <v>0</v>
      </c>
      <c r="X4" s="81">
        <f t="shared" si="1"/>
        <v>0</v>
      </c>
      <c r="Y4" s="81">
        <f t="shared" si="1"/>
        <v>0</v>
      </c>
      <c r="Z4" s="81">
        <f t="shared" si="1"/>
        <v>0</v>
      </c>
      <c r="AA4" s="81">
        <f t="shared" si="1"/>
        <v>0</v>
      </c>
      <c r="AB4" s="81">
        <f t="shared" si="1"/>
        <v>0</v>
      </c>
      <c r="AC4" s="81">
        <f>SUM(Q4:AB4)</f>
        <v>0</v>
      </c>
    </row>
    <row r="5" spans="1:31" s="86" customFormat="1" x14ac:dyDescent="0.25">
      <c r="A5" s="83" t="s">
        <v>59</v>
      </c>
      <c r="B5" s="84" t="s">
        <v>37</v>
      </c>
      <c r="C5" s="80" t="s">
        <v>117</v>
      </c>
      <c r="D5" s="85">
        <v>0</v>
      </c>
      <c r="E5" s="85">
        <v>0</v>
      </c>
      <c r="F5" s="85">
        <v>0</v>
      </c>
      <c r="G5" s="85">
        <v>0</v>
      </c>
      <c r="H5" s="85">
        <v>0</v>
      </c>
      <c r="I5" s="85">
        <v>0</v>
      </c>
      <c r="J5" s="85">
        <v>0</v>
      </c>
      <c r="K5" s="85">
        <v>0</v>
      </c>
      <c r="L5" s="85">
        <v>0</v>
      </c>
      <c r="M5" s="85">
        <v>0</v>
      </c>
      <c r="N5" s="85">
        <v>0</v>
      </c>
      <c r="O5" s="85">
        <v>0</v>
      </c>
      <c r="P5" s="85">
        <f t="shared" ref="P5:P25" si="2">SUM(D5:O5)</f>
        <v>0</v>
      </c>
      <c r="Q5" s="85">
        <v>0</v>
      </c>
      <c r="R5" s="85">
        <v>0</v>
      </c>
      <c r="S5" s="85">
        <v>0</v>
      </c>
      <c r="T5" s="85">
        <v>0</v>
      </c>
      <c r="U5" s="85">
        <v>0</v>
      </c>
      <c r="V5" s="85">
        <v>0</v>
      </c>
      <c r="W5" s="85">
        <v>0</v>
      </c>
      <c r="X5" s="85">
        <v>0</v>
      </c>
      <c r="Y5" s="85">
        <v>0</v>
      </c>
      <c r="Z5" s="85">
        <v>0</v>
      </c>
      <c r="AA5" s="85">
        <v>0</v>
      </c>
      <c r="AB5" s="85">
        <v>0</v>
      </c>
      <c r="AC5" s="85">
        <f t="shared" ref="AC5:AC12" si="3">SUM(Q5:AB5)</f>
        <v>0</v>
      </c>
    </row>
    <row r="6" spans="1:31" s="86" customFormat="1" x14ac:dyDescent="0.25">
      <c r="A6" s="83" t="s">
        <v>60</v>
      </c>
      <c r="B6" s="84" t="s">
        <v>38</v>
      </c>
      <c r="C6" s="80" t="s">
        <v>118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f t="shared" si="2"/>
        <v>0</v>
      </c>
      <c r="Q6" s="85">
        <v>0</v>
      </c>
      <c r="R6" s="85">
        <v>0</v>
      </c>
      <c r="S6" s="85">
        <v>0</v>
      </c>
      <c r="T6" s="85">
        <v>0</v>
      </c>
      <c r="U6" s="85">
        <v>0</v>
      </c>
      <c r="V6" s="85">
        <v>0</v>
      </c>
      <c r="W6" s="85">
        <v>0</v>
      </c>
      <c r="X6" s="85">
        <v>0</v>
      </c>
      <c r="Y6" s="85">
        <v>0</v>
      </c>
      <c r="Z6" s="85">
        <v>0</v>
      </c>
      <c r="AA6" s="85">
        <v>0</v>
      </c>
      <c r="AB6" s="85">
        <v>0</v>
      </c>
      <c r="AC6" s="85">
        <f t="shared" si="3"/>
        <v>0</v>
      </c>
    </row>
    <row r="7" spans="1:31" s="86" customFormat="1" x14ac:dyDescent="0.25">
      <c r="A7" s="83" t="s">
        <v>61</v>
      </c>
      <c r="B7" s="84" t="s">
        <v>39</v>
      </c>
      <c r="C7" s="80" t="s">
        <v>119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f t="shared" si="2"/>
        <v>0</v>
      </c>
      <c r="Q7" s="85">
        <v>0</v>
      </c>
      <c r="R7" s="85">
        <v>0</v>
      </c>
      <c r="S7" s="85">
        <v>0</v>
      </c>
      <c r="T7" s="85">
        <v>0</v>
      </c>
      <c r="U7" s="85">
        <v>0</v>
      </c>
      <c r="V7" s="85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85">
        <v>0</v>
      </c>
      <c r="AC7" s="85">
        <f t="shared" si="3"/>
        <v>0</v>
      </c>
    </row>
    <row r="8" spans="1:31" s="86" customFormat="1" x14ac:dyDescent="0.25">
      <c r="A8" s="83" t="s">
        <v>62</v>
      </c>
      <c r="B8" s="84" t="s">
        <v>40</v>
      </c>
      <c r="C8" s="80" t="s">
        <v>120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f t="shared" si="2"/>
        <v>0</v>
      </c>
      <c r="Q8" s="85">
        <v>0</v>
      </c>
      <c r="R8" s="85">
        <v>0</v>
      </c>
      <c r="S8" s="85">
        <v>0</v>
      </c>
      <c r="T8" s="85">
        <v>0</v>
      </c>
      <c r="U8" s="85">
        <v>0</v>
      </c>
      <c r="V8" s="85">
        <v>0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85">
        <v>0</v>
      </c>
      <c r="AC8" s="85">
        <f t="shared" si="3"/>
        <v>0</v>
      </c>
    </row>
    <row r="9" spans="1:31" s="82" customFormat="1" x14ac:dyDescent="0.25">
      <c r="A9" s="78">
        <v>2</v>
      </c>
      <c r="B9" s="79" t="s">
        <v>41</v>
      </c>
      <c r="C9" s="80" t="s">
        <v>121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f t="shared" si="2"/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81">
        <v>0</v>
      </c>
      <c r="AC9" s="81">
        <f t="shared" si="3"/>
        <v>0</v>
      </c>
    </row>
    <row r="10" spans="1:31" s="82" customFormat="1" x14ac:dyDescent="0.25">
      <c r="A10" s="78">
        <v>3</v>
      </c>
      <c r="B10" s="79" t="s">
        <v>42</v>
      </c>
      <c r="C10" s="80" t="s">
        <v>122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f t="shared" si="2"/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1">
        <v>0</v>
      </c>
      <c r="AC10" s="81">
        <f t="shared" si="3"/>
        <v>0</v>
      </c>
    </row>
    <row r="11" spans="1:31" s="82" customFormat="1" x14ac:dyDescent="0.25">
      <c r="A11" s="78">
        <v>4</v>
      </c>
      <c r="B11" s="79" t="s">
        <v>43</v>
      </c>
      <c r="C11" s="80" t="s">
        <v>123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f t="shared" si="2"/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1">
        <v>0</v>
      </c>
      <c r="Z11" s="81">
        <v>0</v>
      </c>
      <c r="AA11" s="81">
        <v>0</v>
      </c>
      <c r="AB11" s="81">
        <v>0</v>
      </c>
      <c r="AC11" s="81">
        <f t="shared" si="3"/>
        <v>0</v>
      </c>
    </row>
    <row r="12" spans="1:31" s="82" customFormat="1" x14ac:dyDescent="0.25">
      <c r="A12" s="78">
        <v>5</v>
      </c>
      <c r="B12" s="79" t="s">
        <v>44</v>
      </c>
      <c r="C12" s="80" t="s">
        <v>124</v>
      </c>
      <c r="D12" s="81">
        <f>D13</f>
        <v>6587</v>
      </c>
      <c r="E12" s="81">
        <f t="shared" ref="E12:O12" si="4">E13</f>
        <v>6171</v>
      </c>
      <c r="F12" s="81">
        <f t="shared" si="4"/>
        <v>8173</v>
      </c>
      <c r="G12" s="81">
        <f t="shared" si="4"/>
        <v>7828</v>
      </c>
      <c r="H12" s="81">
        <f t="shared" si="4"/>
        <v>10611</v>
      </c>
      <c r="I12" s="81">
        <f t="shared" si="4"/>
        <v>8214</v>
      </c>
      <c r="J12" s="81">
        <f t="shared" si="4"/>
        <v>14208</v>
      </c>
      <c r="K12" s="81">
        <f t="shared" si="4"/>
        <v>11363</v>
      </c>
      <c r="L12" s="81">
        <f t="shared" si="4"/>
        <v>10085</v>
      </c>
      <c r="M12" s="81">
        <f t="shared" si="4"/>
        <v>6290</v>
      </c>
      <c r="N12" s="81">
        <f t="shared" si="4"/>
        <v>5573</v>
      </c>
      <c r="O12" s="81">
        <f t="shared" si="4"/>
        <v>4588</v>
      </c>
      <c r="P12" s="81">
        <f t="shared" si="2"/>
        <v>99691</v>
      </c>
      <c r="Q12" s="81">
        <f>Q13</f>
        <v>0</v>
      </c>
      <c r="R12" s="81">
        <f t="shared" ref="R12:AB12" si="5">R13</f>
        <v>0</v>
      </c>
      <c r="S12" s="81">
        <f t="shared" si="5"/>
        <v>0</v>
      </c>
      <c r="T12" s="81">
        <f t="shared" si="5"/>
        <v>0</v>
      </c>
      <c r="U12" s="81">
        <f t="shared" si="5"/>
        <v>0</v>
      </c>
      <c r="V12" s="81">
        <f t="shared" si="5"/>
        <v>0</v>
      </c>
      <c r="W12" s="81">
        <f t="shared" si="5"/>
        <v>0</v>
      </c>
      <c r="X12" s="81">
        <f t="shared" si="5"/>
        <v>0</v>
      </c>
      <c r="Y12" s="81">
        <f t="shared" si="5"/>
        <v>0</v>
      </c>
      <c r="Z12" s="81">
        <f t="shared" si="5"/>
        <v>0</v>
      </c>
      <c r="AA12" s="81">
        <f t="shared" si="5"/>
        <v>0</v>
      </c>
      <c r="AB12" s="81">
        <f t="shared" si="5"/>
        <v>0</v>
      </c>
      <c r="AC12" s="81">
        <f t="shared" si="3"/>
        <v>0</v>
      </c>
    </row>
    <row r="13" spans="1:31" s="86" customFormat="1" x14ac:dyDescent="0.25">
      <c r="A13" s="83" t="s">
        <v>63</v>
      </c>
      <c r="B13" s="84" t="s">
        <v>45</v>
      </c>
      <c r="C13" s="80" t="s">
        <v>125</v>
      </c>
      <c r="D13" s="85">
        <v>6587</v>
      </c>
      <c r="E13" s="85">
        <v>6171</v>
      </c>
      <c r="F13" s="85">
        <v>8173</v>
      </c>
      <c r="G13" s="85">
        <v>7828</v>
      </c>
      <c r="H13" s="85">
        <v>10611</v>
      </c>
      <c r="I13" s="85">
        <v>8214</v>
      </c>
      <c r="J13" s="85">
        <v>14208</v>
      </c>
      <c r="K13" s="85">
        <v>11363</v>
      </c>
      <c r="L13" s="85">
        <v>10085</v>
      </c>
      <c r="M13" s="85">
        <v>6290</v>
      </c>
      <c r="N13" s="85">
        <v>5573</v>
      </c>
      <c r="O13" s="85">
        <v>4588</v>
      </c>
      <c r="P13" s="85">
        <f>SUM(D13:O13)</f>
        <v>99691</v>
      </c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5">
        <f>SUM(Q13:AB13)</f>
        <v>0</v>
      </c>
    </row>
    <row r="14" spans="1:31" s="82" customFormat="1" ht="21.75" customHeight="1" x14ac:dyDescent="0.25">
      <c r="A14" s="78">
        <v>6</v>
      </c>
      <c r="B14" s="79" t="s">
        <v>46</v>
      </c>
      <c r="C14" s="80" t="s">
        <v>126</v>
      </c>
      <c r="D14" s="81">
        <f>D16+D17</f>
        <v>0</v>
      </c>
      <c r="E14" s="81">
        <f t="shared" ref="E14:N14" si="6">E16+E17</f>
        <v>0</v>
      </c>
      <c r="F14" s="81">
        <f t="shared" si="6"/>
        <v>0</v>
      </c>
      <c r="G14" s="81">
        <f t="shared" si="6"/>
        <v>0</v>
      </c>
      <c r="H14" s="81">
        <f t="shared" si="6"/>
        <v>0</v>
      </c>
      <c r="I14" s="81">
        <f t="shared" si="6"/>
        <v>0</v>
      </c>
      <c r="J14" s="81">
        <f t="shared" si="6"/>
        <v>0</v>
      </c>
      <c r="K14" s="81">
        <f t="shared" si="6"/>
        <v>0</v>
      </c>
      <c r="L14" s="81">
        <f t="shared" si="6"/>
        <v>0</v>
      </c>
      <c r="M14" s="81">
        <f t="shared" si="6"/>
        <v>0</v>
      </c>
      <c r="N14" s="81">
        <f t="shared" si="6"/>
        <v>0</v>
      </c>
      <c r="O14" s="81">
        <f>O16+O17</f>
        <v>0</v>
      </c>
      <c r="P14" s="81">
        <f t="shared" si="2"/>
        <v>0</v>
      </c>
      <c r="Q14" s="81">
        <f>Q16+Q17</f>
        <v>0</v>
      </c>
      <c r="R14" s="81">
        <f t="shared" ref="R14:AB14" si="7">R16+R17</f>
        <v>0</v>
      </c>
      <c r="S14" s="81">
        <f t="shared" si="7"/>
        <v>0</v>
      </c>
      <c r="T14" s="81">
        <f t="shared" si="7"/>
        <v>0</v>
      </c>
      <c r="U14" s="81">
        <f t="shared" si="7"/>
        <v>0</v>
      </c>
      <c r="V14" s="81">
        <f t="shared" si="7"/>
        <v>0</v>
      </c>
      <c r="W14" s="81">
        <f t="shared" si="7"/>
        <v>0</v>
      </c>
      <c r="X14" s="81">
        <f t="shared" si="7"/>
        <v>0</v>
      </c>
      <c r="Y14" s="81">
        <f t="shared" si="7"/>
        <v>0</v>
      </c>
      <c r="Z14" s="81">
        <f t="shared" si="7"/>
        <v>0</v>
      </c>
      <c r="AA14" s="81">
        <f t="shared" si="7"/>
        <v>0</v>
      </c>
      <c r="AB14" s="81">
        <f t="shared" si="7"/>
        <v>0</v>
      </c>
      <c r="AC14" s="81">
        <f t="shared" ref="AC14:AC25" si="8">SUM(Q14:AB14)</f>
        <v>0</v>
      </c>
    </row>
    <row r="15" spans="1:31" s="93" customFormat="1" ht="21.75" customHeight="1" x14ac:dyDescent="0.25">
      <c r="A15" s="88"/>
      <c r="B15" s="89" t="s">
        <v>396</v>
      </c>
      <c r="C15" s="90"/>
      <c r="D15" s="91">
        <f>D14/D12</f>
        <v>0</v>
      </c>
      <c r="E15" s="91">
        <f t="shared" ref="E15:AC15" si="9">E14/E12</f>
        <v>0</v>
      </c>
      <c r="F15" s="91">
        <f t="shared" si="9"/>
        <v>0</v>
      </c>
      <c r="G15" s="91">
        <f t="shared" si="9"/>
        <v>0</v>
      </c>
      <c r="H15" s="91">
        <f t="shared" si="9"/>
        <v>0</v>
      </c>
      <c r="I15" s="91">
        <f t="shared" si="9"/>
        <v>0</v>
      </c>
      <c r="J15" s="91">
        <f t="shared" si="9"/>
        <v>0</v>
      </c>
      <c r="K15" s="91">
        <f t="shared" si="9"/>
        <v>0</v>
      </c>
      <c r="L15" s="91">
        <f t="shared" si="9"/>
        <v>0</v>
      </c>
      <c r="M15" s="91">
        <f t="shared" si="9"/>
        <v>0</v>
      </c>
      <c r="N15" s="91">
        <f t="shared" si="9"/>
        <v>0</v>
      </c>
      <c r="O15" s="91">
        <f t="shared" si="9"/>
        <v>0</v>
      </c>
      <c r="P15" s="91">
        <f>P14/P12</f>
        <v>0</v>
      </c>
      <c r="Q15" s="92" t="e">
        <f>Q14/Q12</f>
        <v>#DIV/0!</v>
      </c>
      <c r="R15" s="92" t="e">
        <f t="shared" si="9"/>
        <v>#DIV/0!</v>
      </c>
      <c r="S15" s="92" t="e">
        <f t="shared" si="9"/>
        <v>#DIV/0!</v>
      </c>
      <c r="T15" s="92" t="e">
        <f t="shared" si="9"/>
        <v>#DIV/0!</v>
      </c>
      <c r="U15" s="92" t="e">
        <f t="shared" si="9"/>
        <v>#DIV/0!</v>
      </c>
      <c r="V15" s="92" t="e">
        <f t="shared" si="9"/>
        <v>#DIV/0!</v>
      </c>
      <c r="W15" s="92" t="e">
        <f t="shared" si="9"/>
        <v>#DIV/0!</v>
      </c>
      <c r="X15" s="92" t="e">
        <f t="shared" si="9"/>
        <v>#DIV/0!</v>
      </c>
      <c r="Y15" s="92" t="e">
        <f t="shared" si="9"/>
        <v>#DIV/0!</v>
      </c>
      <c r="Z15" s="92" t="e">
        <f t="shared" si="9"/>
        <v>#DIV/0!</v>
      </c>
      <c r="AA15" s="92" t="e">
        <f t="shared" si="9"/>
        <v>#DIV/0!</v>
      </c>
      <c r="AB15" s="92" t="e">
        <f t="shared" si="9"/>
        <v>#DIV/0!</v>
      </c>
      <c r="AC15" s="92" t="e">
        <f t="shared" si="9"/>
        <v>#DIV/0!</v>
      </c>
      <c r="AD15" s="380">
        <v>2.886E-2</v>
      </c>
      <c r="AE15" s="381"/>
    </row>
    <row r="16" spans="1:31" s="86" customFormat="1" x14ac:dyDescent="0.25">
      <c r="A16" s="83" t="s">
        <v>64</v>
      </c>
      <c r="B16" s="84" t="s">
        <v>47</v>
      </c>
      <c r="C16" s="80" t="s">
        <v>127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>
        <f t="shared" si="2"/>
        <v>0</v>
      </c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>
        <f t="shared" si="8"/>
        <v>0</v>
      </c>
      <c r="AD16" s="352"/>
      <c r="AE16" s="352"/>
    </row>
    <row r="17" spans="1:31" s="86" customFormat="1" x14ac:dyDescent="0.25">
      <c r="A17" s="83" t="s">
        <v>65</v>
      </c>
      <c r="B17" s="84" t="s">
        <v>48</v>
      </c>
      <c r="C17" s="80" t="s">
        <v>128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f t="shared" si="2"/>
        <v>0</v>
      </c>
      <c r="Q17" s="85">
        <v>0</v>
      </c>
      <c r="R17" s="85">
        <v>0</v>
      </c>
      <c r="S17" s="85">
        <v>0</v>
      </c>
      <c r="T17" s="85">
        <v>0</v>
      </c>
      <c r="U17" s="85">
        <v>0</v>
      </c>
      <c r="V17" s="85">
        <v>0</v>
      </c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85">
        <v>0</v>
      </c>
      <c r="AC17" s="85">
        <f t="shared" si="8"/>
        <v>0</v>
      </c>
      <c r="AD17" s="352"/>
      <c r="AE17" s="352"/>
    </row>
    <row r="18" spans="1:31" s="82" customFormat="1" x14ac:dyDescent="0.25">
      <c r="A18" s="78">
        <v>7</v>
      </c>
      <c r="B18" s="79" t="s">
        <v>49</v>
      </c>
      <c r="C18" s="80" t="s">
        <v>129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f t="shared" si="2"/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  <c r="V18" s="81">
        <v>0</v>
      </c>
      <c r="W18" s="81">
        <v>0</v>
      </c>
      <c r="X18" s="81">
        <v>0</v>
      </c>
      <c r="Y18" s="81">
        <v>0</v>
      </c>
      <c r="Z18" s="81">
        <v>0</v>
      </c>
      <c r="AA18" s="81">
        <v>0</v>
      </c>
      <c r="AB18" s="81">
        <v>0</v>
      </c>
      <c r="AC18" s="81">
        <f t="shared" si="8"/>
        <v>0</v>
      </c>
      <c r="AD18" s="355"/>
      <c r="AE18" s="355"/>
    </row>
    <row r="19" spans="1:31" s="82" customFormat="1" x14ac:dyDescent="0.25">
      <c r="A19" s="78">
        <v>8</v>
      </c>
      <c r="B19" s="79" t="s">
        <v>50</v>
      </c>
      <c r="C19" s="80" t="s">
        <v>130</v>
      </c>
      <c r="D19" s="81">
        <f>D12-D14-D21</f>
        <v>3140</v>
      </c>
      <c r="E19" s="81">
        <f t="shared" ref="E19:O19" si="10">E12-E14-E21</f>
        <v>1482</v>
      </c>
      <c r="F19" s="81">
        <f t="shared" si="10"/>
        <v>2814</v>
      </c>
      <c r="G19" s="81">
        <f t="shared" si="10"/>
        <v>-4443</v>
      </c>
      <c r="H19" s="81">
        <f t="shared" si="10"/>
        <v>3349</v>
      </c>
      <c r="I19" s="81">
        <f t="shared" si="10"/>
        <v>1941</v>
      </c>
      <c r="J19" s="81">
        <f t="shared" si="10"/>
        <v>7331</v>
      </c>
      <c r="K19" s="81">
        <f t="shared" si="10"/>
        <v>4008</v>
      </c>
      <c r="L19" s="81">
        <f t="shared" si="10"/>
        <v>-4688</v>
      </c>
      <c r="M19" s="81">
        <f t="shared" si="10"/>
        <v>-823</v>
      </c>
      <c r="N19" s="81">
        <f t="shared" si="10"/>
        <v>580</v>
      </c>
      <c r="O19" s="81">
        <f t="shared" si="10"/>
        <v>1335</v>
      </c>
      <c r="P19" s="81">
        <f t="shared" si="2"/>
        <v>16026</v>
      </c>
      <c r="Q19" s="81">
        <f>Q12-Q14-Q21</f>
        <v>0</v>
      </c>
      <c r="R19" s="81">
        <f t="shared" ref="R19:AB19" si="11">R12-R14-R21</f>
        <v>0</v>
      </c>
      <c r="S19" s="81">
        <f t="shared" si="11"/>
        <v>0</v>
      </c>
      <c r="T19" s="81">
        <f t="shared" si="11"/>
        <v>0</v>
      </c>
      <c r="U19" s="81">
        <f t="shared" si="11"/>
        <v>0</v>
      </c>
      <c r="V19" s="81">
        <f t="shared" si="11"/>
        <v>0</v>
      </c>
      <c r="W19" s="81">
        <f t="shared" si="11"/>
        <v>0</v>
      </c>
      <c r="X19" s="81">
        <f t="shared" si="11"/>
        <v>0</v>
      </c>
      <c r="Y19" s="81">
        <f t="shared" si="11"/>
        <v>0</v>
      </c>
      <c r="Z19" s="81">
        <f t="shared" si="11"/>
        <v>0</v>
      </c>
      <c r="AA19" s="81">
        <f t="shared" si="11"/>
        <v>0</v>
      </c>
      <c r="AB19" s="81">
        <f t="shared" si="11"/>
        <v>0</v>
      </c>
      <c r="AC19" s="81">
        <f t="shared" si="8"/>
        <v>0</v>
      </c>
      <c r="AD19" s="380">
        <v>0.27995999999999999</v>
      </c>
      <c r="AE19" s="355"/>
    </row>
    <row r="20" spans="1:31" s="93" customFormat="1" ht="21.75" customHeight="1" x14ac:dyDescent="0.25">
      <c r="A20" s="88"/>
      <c r="B20" s="89" t="s">
        <v>50</v>
      </c>
      <c r="C20" s="90"/>
      <c r="D20" s="92">
        <f>D19/D12</f>
        <v>0.47669652345529073</v>
      </c>
      <c r="E20" s="92">
        <f t="shared" ref="E20:AC20" si="12">E19/E12</f>
        <v>0.24015556635877491</v>
      </c>
      <c r="F20" s="92">
        <f t="shared" si="12"/>
        <v>0.34430441698274805</v>
      </c>
      <c r="G20" s="92">
        <f t="shared" si="12"/>
        <v>-0.56757792539601426</v>
      </c>
      <c r="H20" s="92">
        <f t="shared" si="12"/>
        <v>0.31561587032324945</v>
      </c>
      <c r="I20" s="92">
        <f t="shared" si="12"/>
        <v>0.23630387143900658</v>
      </c>
      <c r="J20" s="92">
        <f t="shared" si="12"/>
        <v>0.5159769144144144</v>
      </c>
      <c r="K20" s="92">
        <f t="shared" si="12"/>
        <v>0.35272375253014171</v>
      </c>
      <c r="L20" s="92">
        <f t="shared" si="12"/>
        <v>-0.46484878532473972</v>
      </c>
      <c r="M20" s="92">
        <f t="shared" si="12"/>
        <v>-0.13084260731319555</v>
      </c>
      <c r="N20" s="92">
        <f t="shared" si="12"/>
        <v>0.1040732101202225</v>
      </c>
      <c r="O20" s="92">
        <f t="shared" si="12"/>
        <v>0.29097646033129904</v>
      </c>
      <c r="P20" s="92">
        <f>P19/P12</f>
        <v>0.16075673832141316</v>
      </c>
      <c r="Q20" s="92" t="e">
        <f>Q19/Q12</f>
        <v>#DIV/0!</v>
      </c>
      <c r="R20" s="92" t="e">
        <f t="shared" si="12"/>
        <v>#DIV/0!</v>
      </c>
      <c r="S20" s="92" t="e">
        <f t="shared" si="12"/>
        <v>#DIV/0!</v>
      </c>
      <c r="T20" s="92" t="e">
        <f t="shared" si="12"/>
        <v>#DIV/0!</v>
      </c>
      <c r="U20" s="92" t="e">
        <f t="shared" si="12"/>
        <v>#DIV/0!</v>
      </c>
      <c r="V20" s="92" t="e">
        <f t="shared" si="12"/>
        <v>#DIV/0!</v>
      </c>
      <c r="W20" s="92" t="e">
        <f t="shared" si="12"/>
        <v>#DIV/0!</v>
      </c>
      <c r="X20" s="92" t="e">
        <f t="shared" si="12"/>
        <v>#DIV/0!</v>
      </c>
      <c r="Y20" s="92" t="e">
        <f t="shared" si="12"/>
        <v>#DIV/0!</v>
      </c>
      <c r="Z20" s="92" t="e">
        <f t="shared" si="12"/>
        <v>#DIV/0!</v>
      </c>
      <c r="AA20" s="92" t="e">
        <f t="shared" si="12"/>
        <v>#DIV/0!</v>
      </c>
      <c r="AB20" s="92" t="e">
        <f t="shared" si="12"/>
        <v>#DIV/0!</v>
      </c>
      <c r="AC20" s="92" t="e">
        <f t="shared" si="12"/>
        <v>#DIV/0!</v>
      </c>
      <c r="AD20" s="381"/>
      <c r="AE20" s="381"/>
    </row>
    <row r="21" spans="1:31" s="82" customFormat="1" x14ac:dyDescent="0.25">
      <c r="A21" s="78">
        <v>9</v>
      </c>
      <c r="B21" s="79" t="s">
        <v>51</v>
      </c>
      <c r="C21" s="80" t="s">
        <v>131</v>
      </c>
      <c r="D21" s="81">
        <f>D22+D23+D24+D25</f>
        <v>3447</v>
      </c>
      <c r="E21" s="81">
        <f t="shared" ref="E21:O21" si="13">E22+E23+E24+E25</f>
        <v>4689</v>
      </c>
      <c r="F21" s="81">
        <f t="shared" si="13"/>
        <v>5359</v>
      </c>
      <c r="G21" s="81">
        <f t="shared" si="13"/>
        <v>12271</v>
      </c>
      <c r="H21" s="81">
        <f t="shared" si="13"/>
        <v>7262</v>
      </c>
      <c r="I21" s="81">
        <f t="shared" si="13"/>
        <v>6273</v>
      </c>
      <c r="J21" s="81">
        <f t="shared" si="13"/>
        <v>6877</v>
      </c>
      <c r="K21" s="81">
        <f t="shared" si="13"/>
        <v>7355</v>
      </c>
      <c r="L21" s="81">
        <f t="shared" si="13"/>
        <v>14773</v>
      </c>
      <c r="M21" s="81">
        <f t="shared" si="13"/>
        <v>7113</v>
      </c>
      <c r="N21" s="81">
        <f t="shared" si="13"/>
        <v>4993</v>
      </c>
      <c r="O21" s="81">
        <f t="shared" si="13"/>
        <v>3253</v>
      </c>
      <c r="P21" s="81">
        <f t="shared" si="2"/>
        <v>83665</v>
      </c>
      <c r="Q21" s="81">
        <f>Q22+Q23+Q24+Q25</f>
        <v>0</v>
      </c>
      <c r="R21" s="81">
        <f t="shared" ref="R21:AB21" si="14">R22+R23+R24+R25</f>
        <v>0</v>
      </c>
      <c r="S21" s="81">
        <f t="shared" si="14"/>
        <v>0</v>
      </c>
      <c r="T21" s="81">
        <f t="shared" si="14"/>
        <v>0</v>
      </c>
      <c r="U21" s="81">
        <f t="shared" si="14"/>
        <v>0</v>
      </c>
      <c r="V21" s="81">
        <f t="shared" si="14"/>
        <v>0</v>
      </c>
      <c r="W21" s="81">
        <f t="shared" si="14"/>
        <v>0</v>
      </c>
      <c r="X21" s="81">
        <f t="shared" si="14"/>
        <v>0</v>
      </c>
      <c r="Y21" s="81">
        <f t="shared" si="14"/>
        <v>0</v>
      </c>
      <c r="Z21" s="81">
        <f t="shared" si="14"/>
        <v>0</v>
      </c>
      <c r="AA21" s="81">
        <f t="shared" si="14"/>
        <v>0</v>
      </c>
      <c r="AB21" s="81">
        <f t="shared" si="14"/>
        <v>0</v>
      </c>
      <c r="AC21" s="81">
        <f t="shared" si="8"/>
        <v>0</v>
      </c>
    </row>
    <row r="22" spans="1:31" s="86" customFormat="1" x14ac:dyDescent="0.25">
      <c r="A22" s="83" t="s">
        <v>66</v>
      </c>
      <c r="B22" s="84" t="s">
        <v>52</v>
      </c>
      <c r="C22" s="80" t="s">
        <v>132</v>
      </c>
      <c r="D22" s="85">
        <v>3447</v>
      </c>
      <c r="E22" s="85">
        <v>3172</v>
      </c>
      <c r="F22" s="85">
        <v>4734</v>
      </c>
      <c r="G22" s="85">
        <v>10298</v>
      </c>
      <c r="H22" s="85">
        <v>4028</v>
      </c>
      <c r="I22" s="85">
        <v>3551</v>
      </c>
      <c r="J22" s="85">
        <v>3940</v>
      </c>
      <c r="K22" s="85">
        <v>4654</v>
      </c>
      <c r="L22" s="85">
        <v>12583</v>
      </c>
      <c r="M22" s="85">
        <v>4846</v>
      </c>
      <c r="N22" s="85">
        <v>3295</v>
      </c>
      <c r="O22" s="85">
        <v>2801</v>
      </c>
      <c r="P22" s="85">
        <f t="shared" si="2"/>
        <v>61349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5">
        <f t="shared" si="8"/>
        <v>0</v>
      </c>
    </row>
    <row r="23" spans="1:31" s="86" customFormat="1" x14ac:dyDescent="0.25">
      <c r="A23" s="83" t="s">
        <v>67</v>
      </c>
      <c r="B23" s="84" t="s">
        <v>53</v>
      </c>
      <c r="C23" s="80" t="s">
        <v>133</v>
      </c>
      <c r="D23" s="85">
        <v>0</v>
      </c>
      <c r="E23" s="85">
        <v>204</v>
      </c>
      <c r="F23" s="85">
        <v>87</v>
      </c>
      <c r="G23" s="85">
        <v>336</v>
      </c>
      <c r="H23" s="85">
        <v>181</v>
      </c>
      <c r="I23" s="85">
        <v>107</v>
      </c>
      <c r="J23" s="85">
        <v>102</v>
      </c>
      <c r="K23" s="85">
        <v>76</v>
      </c>
      <c r="L23" s="85">
        <v>63</v>
      </c>
      <c r="M23" s="85">
        <v>415</v>
      </c>
      <c r="N23" s="85">
        <v>263</v>
      </c>
      <c r="O23" s="85">
        <v>51</v>
      </c>
      <c r="P23" s="85">
        <f t="shared" si="2"/>
        <v>1885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5">
        <f t="shared" si="8"/>
        <v>0</v>
      </c>
    </row>
    <row r="24" spans="1:31" s="86" customFormat="1" x14ac:dyDescent="0.25">
      <c r="A24" s="83" t="s">
        <v>68</v>
      </c>
      <c r="B24" s="84" t="s">
        <v>54</v>
      </c>
      <c r="C24" s="80" t="s">
        <v>134</v>
      </c>
      <c r="D24" s="85">
        <v>0</v>
      </c>
      <c r="E24" s="85">
        <v>1313</v>
      </c>
      <c r="F24" s="85">
        <v>538</v>
      </c>
      <c r="G24" s="85">
        <v>1637</v>
      </c>
      <c r="H24" s="85">
        <v>3053</v>
      </c>
      <c r="I24" s="85">
        <v>2615</v>
      </c>
      <c r="J24" s="85">
        <v>2835</v>
      </c>
      <c r="K24" s="85">
        <v>2625</v>
      </c>
      <c r="L24" s="85">
        <v>2127</v>
      </c>
      <c r="M24" s="85">
        <v>1852</v>
      </c>
      <c r="N24" s="85">
        <v>1435</v>
      </c>
      <c r="O24" s="85">
        <v>401</v>
      </c>
      <c r="P24" s="85">
        <f t="shared" si="2"/>
        <v>20431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5">
        <f t="shared" si="8"/>
        <v>0</v>
      </c>
    </row>
    <row r="25" spans="1:31" s="86" customFormat="1" x14ac:dyDescent="0.25">
      <c r="A25" s="83" t="s">
        <v>69</v>
      </c>
      <c r="B25" s="84" t="s">
        <v>55</v>
      </c>
      <c r="C25" s="80" t="s">
        <v>135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>
        <f t="shared" si="2"/>
        <v>0</v>
      </c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>
        <f t="shared" si="8"/>
        <v>0</v>
      </c>
    </row>
    <row r="26" spans="1:31" s="86" customFormat="1" x14ac:dyDescent="0.25">
      <c r="A26" s="94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417" t="s">
        <v>626</v>
      </c>
      <c r="Q26" s="97"/>
    </row>
    <row r="27" spans="1:31" s="86" customFormat="1" x14ac:dyDescent="0.25">
      <c r="A27" s="98"/>
      <c r="B27" s="99" t="s">
        <v>654</v>
      </c>
      <c r="C27" s="98"/>
      <c r="D27" s="350">
        <f>D21*9/1000</f>
        <v>31.023</v>
      </c>
      <c r="E27" s="350">
        <f t="shared" ref="E27:N27" si="15">E21*9/1000</f>
        <v>42.201000000000001</v>
      </c>
      <c r="F27" s="350">
        <f t="shared" si="15"/>
        <v>48.231000000000002</v>
      </c>
      <c r="G27" s="350">
        <f t="shared" si="15"/>
        <v>110.43899999999999</v>
      </c>
      <c r="H27" s="350">
        <f t="shared" si="15"/>
        <v>65.358000000000004</v>
      </c>
      <c r="I27" s="350">
        <f t="shared" si="15"/>
        <v>56.457000000000001</v>
      </c>
      <c r="J27" s="350">
        <f t="shared" si="15"/>
        <v>61.893000000000001</v>
      </c>
      <c r="K27" s="350">
        <f>K21*9/1000</f>
        <v>66.194999999999993</v>
      </c>
      <c r="L27" s="350">
        <f t="shared" si="15"/>
        <v>132.95699999999999</v>
      </c>
      <c r="M27" s="350">
        <f t="shared" si="15"/>
        <v>64.016999999999996</v>
      </c>
      <c r="N27" s="350">
        <f t="shared" si="15"/>
        <v>44.936999999999998</v>
      </c>
      <c r="O27" s="350">
        <f>O21*9/1000</f>
        <v>29.277000000000001</v>
      </c>
      <c r="P27" s="351">
        <f>SUM(D27:O27)</f>
        <v>752.98500000000001</v>
      </c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</row>
    <row r="28" spans="1:31" s="86" customFormat="1" x14ac:dyDescent="0.25">
      <c r="A28" s="98"/>
      <c r="B28" s="99"/>
      <c r="C28" s="98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4">
        <f>9*1.2</f>
        <v>10.799999999999999</v>
      </c>
      <c r="P28" s="355">
        <f>P27*1.2</f>
        <v>903.58199999999999</v>
      </c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</row>
    <row r="29" spans="1:31" x14ac:dyDescent="0.25">
      <c r="B29" s="26" t="s">
        <v>653</v>
      </c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4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</row>
  </sheetData>
  <pageMargins left="0.78740157480314965" right="0.39370078740157483" top="0.39370078740157483" bottom="0.39370078740157483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zoomScale="82" zoomScaleNormal="82" workbookViewId="0">
      <pane ySplit="6" topLeftCell="A37" activePane="bottomLeft" state="frozenSplit"/>
      <selection activeCell="H27" sqref="H27"/>
      <selection pane="bottomLeft" activeCell="B48" sqref="B48"/>
    </sheetView>
  </sheetViews>
  <sheetFormatPr defaultRowHeight="15.75" x14ac:dyDescent="0.25"/>
  <cols>
    <col min="1" max="1" width="10.7109375" style="101" customWidth="1"/>
    <col min="2" max="2" width="62.85546875" style="101" customWidth="1"/>
    <col min="3" max="3" width="15" style="101" bestFit="1" customWidth="1"/>
    <col min="4" max="4" width="10.5703125" style="101" customWidth="1"/>
    <col min="5" max="5" width="15" style="101" bestFit="1" customWidth="1"/>
    <col min="6" max="6" width="9.28515625" style="101" bestFit="1" customWidth="1"/>
    <col min="7" max="7" width="9.140625" style="101"/>
    <col min="8" max="8" width="10.7109375" style="101" bestFit="1" customWidth="1"/>
    <col min="9" max="16384" width="9.140625" style="101"/>
  </cols>
  <sheetData>
    <row r="1" spans="1:11" ht="18.75" x14ac:dyDescent="0.25">
      <c r="A1" s="444" t="s">
        <v>342</v>
      </c>
      <c r="B1" s="444"/>
      <c r="C1" s="444"/>
      <c r="D1" s="444"/>
      <c r="E1" s="444"/>
      <c r="F1" s="444"/>
    </row>
    <row r="2" spans="1:11" ht="18.75" x14ac:dyDescent="0.25">
      <c r="A2" s="439" t="s">
        <v>429</v>
      </c>
      <c r="B2" s="439"/>
      <c r="C2" s="439"/>
      <c r="D2" s="439"/>
      <c r="E2" s="439"/>
      <c r="F2" s="439"/>
    </row>
    <row r="3" spans="1:11" ht="17.25" customHeight="1" x14ac:dyDescent="0.25">
      <c r="A3" s="102"/>
      <c r="B3" s="102"/>
      <c r="C3" s="102"/>
      <c r="D3" s="103"/>
      <c r="E3" s="102"/>
      <c r="F3" s="245" t="s">
        <v>446</v>
      </c>
    </row>
    <row r="4" spans="1:11" s="104" customFormat="1" ht="48" customHeight="1" x14ac:dyDescent="0.25">
      <c r="A4" s="445" t="s">
        <v>292</v>
      </c>
      <c r="B4" s="446" t="s">
        <v>304</v>
      </c>
      <c r="C4" s="445" t="s">
        <v>74</v>
      </c>
      <c r="D4" s="446"/>
      <c r="E4" s="445" t="s">
        <v>644</v>
      </c>
      <c r="F4" s="446"/>
      <c r="J4" s="101"/>
      <c r="K4" s="101"/>
    </row>
    <row r="5" spans="1:11" s="104" customFormat="1" ht="18" x14ac:dyDescent="0.25">
      <c r="A5" s="445"/>
      <c r="B5" s="446"/>
      <c r="C5" s="144" t="s">
        <v>305</v>
      </c>
      <c r="D5" s="144" t="s">
        <v>430</v>
      </c>
      <c r="E5" s="144" t="s">
        <v>305</v>
      </c>
      <c r="F5" s="144" t="s">
        <v>430</v>
      </c>
      <c r="J5" s="101"/>
      <c r="K5" s="101"/>
    </row>
    <row r="6" spans="1:11" s="106" customFormat="1" x14ac:dyDescent="0.25">
      <c r="A6" s="105">
        <v>1</v>
      </c>
      <c r="B6" s="105">
        <v>2</v>
      </c>
      <c r="C6" s="105">
        <v>3</v>
      </c>
      <c r="D6" s="105">
        <v>4</v>
      </c>
      <c r="E6" s="105">
        <v>5</v>
      </c>
      <c r="F6" s="105">
        <v>6</v>
      </c>
      <c r="J6" s="101"/>
      <c r="K6" s="101"/>
    </row>
    <row r="7" spans="1:11" x14ac:dyDescent="0.25">
      <c r="A7" s="107">
        <v>1</v>
      </c>
      <c r="B7" s="108" t="s">
        <v>306</v>
      </c>
      <c r="C7" s="241">
        <f>C8+C13+C14+C19</f>
        <v>1333.16</v>
      </c>
      <c r="D7" s="109">
        <f>D8+D13+D14+D19</f>
        <v>10.960299999999998</v>
      </c>
      <c r="E7" s="241">
        <f>E8+E13+E14+E19</f>
        <v>1411.1879999999999</v>
      </c>
      <c r="F7" s="109">
        <f>F8+F13+F14+F19</f>
        <v>14.109999999999998</v>
      </c>
    </row>
    <row r="8" spans="1:11" x14ac:dyDescent="0.25">
      <c r="A8" s="110" t="s">
        <v>59</v>
      </c>
      <c r="B8" s="108" t="s">
        <v>76</v>
      </c>
      <c r="C8" s="241">
        <f>C9+C10+C11+C12</f>
        <v>948.4</v>
      </c>
      <c r="D8" s="109">
        <f>D9+D10+D11+D12</f>
        <v>7.7969999999999997</v>
      </c>
      <c r="E8" s="241">
        <f>E9+E10+E11+E12</f>
        <v>1005.67</v>
      </c>
      <c r="F8" s="109">
        <f>F9+F10+F11+F12</f>
        <v>10.049999999999999</v>
      </c>
    </row>
    <row r="9" spans="1:11" x14ac:dyDescent="0.25">
      <c r="A9" s="111" t="s">
        <v>103</v>
      </c>
      <c r="B9" s="112" t="s">
        <v>77</v>
      </c>
      <c r="C9" s="242">
        <v>45.4</v>
      </c>
      <c r="D9" s="113">
        <f>ROUND(C9/$C$67,4)</f>
        <v>0.37319999999999998</v>
      </c>
      <c r="E9" s="242">
        <f>'розрахунок тарифу'!H14</f>
        <v>41.2</v>
      </c>
      <c r="F9" s="113">
        <f>ROUND(E9/$E$67,2)</f>
        <v>0.41</v>
      </c>
    </row>
    <row r="10" spans="1:11" ht="31.5" x14ac:dyDescent="0.25">
      <c r="A10" s="111" t="s">
        <v>104</v>
      </c>
      <c r="B10" s="114" t="s">
        <v>445</v>
      </c>
      <c r="C10" s="242">
        <v>788</v>
      </c>
      <c r="D10" s="113">
        <f>ROUND(C10/$C$67,4)</f>
        <v>6.4783999999999997</v>
      </c>
      <c r="E10" s="242">
        <f>'розрахунок тарифу'!H12</f>
        <v>829.43</v>
      </c>
      <c r="F10" s="113">
        <f>ROUND(E10/$E$67,2)</f>
        <v>8.2899999999999991</v>
      </c>
    </row>
    <row r="11" spans="1:11" x14ac:dyDescent="0.25">
      <c r="A11" s="111" t="s">
        <v>105</v>
      </c>
      <c r="B11" s="112" t="s">
        <v>307</v>
      </c>
      <c r="C11" s="242">
        <v>35</v>
      </c>
      <c r="D11" s="113">
        <f>ROUND(C11/$C$67,4)</f>
        <v>0.28770000000000001</v>
      </c>
      <c r="E11" s="242">
        <v>35.04</v>
      </c>
      <c r="F11" s="113">
        <f>ROUND(E11/$E$67,2)</f>
        <v>0.35</v>
      </c>
    </row>
    <row r="12" spans="1:11" s="115" customFormat="1" ht="31.5" x14ac:dyDescent="0.25">
      <c r="A12" s="111" t="s">
        <v>106</v>
      </c>
      <c r="B12" s="114" t="s">
        <v>308</v>
      </c>
      <c r="C12" s="242">
        <v>80</v>
      </c>
      <c r="D12" s="113">
        <f>ROUND(C12/$C$67,4)</f>
        <v>0.65769999999999995</v>
      </c>
      <c r="E12" s="242">
        <f>'розрахунок тарифу'!H15</f>
        <v>100</v>
      </c>
      <c r="F12" s="113">
        <f>ROUND(E12/$E$67,2)</f>
        <v>1</v>
      </c>
    </row>
    <row r="13" spans="1:11" x14ac:dyDescent="0.25">
      <c r="A13" s="110" t="s">
        <v>60</v>
      </c>
      <c r="B13" s="108" t="s">
        <v>79</v>
      </c>
      <c r="C13" s="241">
        <v>232.5</v>
      </c>
      <c r="D13" s="113">
        <f>ROUND(C13/$C$67,4)</f>
        <v>1.9115</v>
      </c>
      <c r="E13" s="241">
        <f>'розрахунок тарифу'!H16</f>
        <v>285.60000000000002</v>
      </c>
      <c r="F13" s="113">
        <f>ROUND(E13/$E$67,2)</f>
        <v>2.86</v>
      </c>
    </row>
    <row r="14" spans="1:11" x14ac:dyDescent="0.25">
      <c r="A14" s="110" t="s">
        <v>61</v>
      </c>
      <c r="B14" s="108" t="s">
        <v>80</v>
      </c>
      <c r="C14" s="241">
        <f>C15+C16+C17+C18</f>
        <v>55.900000000000006</v>
      </c>
      <c r="D14" s="109">
        <f t="shared" ref="D14:F14" si="0">D15+D16+D17+D18</f>
        <v>0.45959999999999995</v>
      </c>
      <c r="E14" s="241">
        <f t="shared" si="0"/>
        <v>67.8</v>
      </c>
      <c r="F14" s="109">
        <f t="shared" si="0"/>
        <v>0.68</v>
      </c>
    </row>
    <row r="15" spans="1:11" x14ac:dyDescent="0.25">
      <c r="A15" s="111" t="s">
        <v>107</v>
      </c>
      <c r="B15" s="112" t="s">
        <v>309</v>
      </c>
      <c r="C15" s="242">
        <v>51.1</v>
      </c>
      <c r="D15" s="113">
        <f>ROUND(C15/$C$67,4)</f>
        <v>0.42009999999999997</v>
      </c>
      <c r="E15" s="242">
        <f>'розрахунок тарифу'!H18</f>
        <v>62.8</v>
      </c>
      <c r="F15" s="113">
        <f>ROUND(E15/$E$67,2)</f>
        <v>0.63</v>
      </c>
    </row>
    <row r="16" spans="1:11" x14ac:dyDescent="0.25">
      <c r="A16" s="111" t="s">
        <v>108</v>
      </c>
      <c r="B16" s="112" t="s">
        <v>310</v>
      </c>
      <c r="C16" s="242">
        <v>0</v>
      </c>
      <c r="D16" s="113">
        <f>ROUND(C16/$C$67,4)</f>
        <v>0</v>
      </c>
      <c r="E16" s="242">
        <v>0</v>
      </c>
      <c r="F16" s="113">
        <f>ROUND(E16/$E$67,2)</f>
        <v>0</v>
      </c>
    </row>
    <row r="17" spans="1:7" s="119" customFormat="1" x14ac:dyDescent="0.25">
      <c r="A17" s="116" t="s">
        <v>109</v>
      </c>
      <c r="B17" s="117" t="s">
        <v>311</v>
      </c>
      <c r="C17" s="243">
        <v>0</v>
      </c>
      <c r="D17" s="113">
        <f>ROUND(C17/$C$67,4)</f>
        <v>0</v>
      </c>
      <c r="E17" s="243">
        <v>0</v>
      </c>
      <c r="F17" s="113">
        <f>ROUND(E17/$E$67,2)</f>
        <v>0</v>
      </c>
      <c r="G17" s="118"/>
    </row>
    <row r="18" spans="1:7" x14ac:dyDescent="0.25">
      <c r="A18" s="111" t="s">
        <v>312</v>
      </c>
      <c r="B18" s="112" t="s">
        <v>83</v>
      </c>
      <c r="C18" s="242">
        <v>4.8000000000000007</v>
      </c>
      <c r="D18" s="113">
        <f>ROUND(C18/$C$67,4)</f>
        <v>3.95E-2</v>
      </c>
      <c r="E18" s="242">
        <f>'розрахунок тарифу'!H20</f>
        <v>5</v>
      </c>
      <c r="F18" s="113">
        <f>ROUND(E18/$E$67,2)</f>
        <v>0.05</v>
      </c>
    </row>
    <row r="19" spans="1:7" x14ac:dyDescent="0.25">
      <c r="A19" s="110" t="s">
        <v>62</v>
      </c>
      <c r="B19" s="108" t="s">
        <v>313</v>
      </c>
      <c r="C19" s="241">
        <f>SUM(C20:C31)</f>
        <v>96.359999999999985</v>
      </c>
      <c r="D19" s="109">
        <f>SUM(D20:D31)</f>
        <v>0.79220000000000002</v>
      </c>
      <c r="E19" s="241">
        <f>SUM(E20:E31)</f>
        <v>52.118000000000002</v>
      </c>
      <c r="F19" s="109">
        <f>SUM(F20:F31)</f>
        <v>0.52</v>
      </c>
    </row>
    <row r="20" spans="1:7" x14ac:dyDescent="0.25">
      <c r="A20" s="111" t="s">
        <v>314</v>
      </c>
      <c r="B20" s="112" t="s">
        <v>171</v>
      </c>
      <c r="C20" s="242">
        <v>0</v>
      </c>
      <c r="D20" s="113">
        <f t="shared" ref="D20:D31" si="1">ROUND(C20/$C$67,4)</f>
        <v>0</v>
      </c>
      <c r="E20" s="242">
        <f>загальновироб!I10</f>
        <v>0</v>
      </c>
      <c r="F20" s="113">
        <f t="shared" ref="F20:F31" si="2">ROUND(E20/$E$67,2)</f>
        <v>0</v>
      </c>
    </row>
    <row r="21" spans="1:7" x14ac:dyDescent="0.25">
      <c r="A21" s="111" t="s">
        <v>315</v>
      </c>
      <c r="B21" s="112" t="s">
        <v>309</v>
      </c>
      <c r="C21" s="242">
        <v>0</v>
      </c>
      <c r="D21" s="113">
        <f t="shared" si="1"/>
        <v>0</v>
      </c>
      <c r="E21" s="242">
        <f>загальновироб!I11</f>
        <v>0</v>
      </c>
      <c r="F21" s="113">
        <f t="shared" si="2"/>
        <v>0</v>
      </c>
    </row>
    <row r="22" spans="1:7" x14ac:dyDescent="0.25">
      <c r="A22" s="111" t="s">
        <v>316</v>
      </c>
      <c r="B22" s="112" t="s">
        <v>310</v>
      </c>
      <c r="C22" s="242">
        <v>0</v>
      </c>
      <c r="D22" s="113">
        <f t="shared" si="1"/>
        <v>0</v>
      </c>
      <c r="E22" s="242">
        <v>0</v>
      </c>
      <c r="F22" s="113">
        <f t="shared" si="2"/>
        <v>0</v>
      </c>
    </row>
    <row r="23" spans="1:7" x14ac:dyDescent="0.25">
      <c r="A23" s="111" t="s">
        <v>317</v>
      </c>
      <c r="B23" s="112" t="s">
        <v>250</v>
      </c>
      <c r="C23" s="242">
        <v>34.1</v>
      </c>
      <c r="D23" s="113">
        <f t="shared" si="1"/>
        <v>0.28029999999999999</v>
      </c>
      <c r="E23" s="423">
        <f>загальновироб!I15</f>
        <v>0</v>
      </c>
      <c r="F23" s="113">
        <f t="shared" si="2"/>
        <v>0</v>
      </c>
    </row>
    <row r="24" spans="1:7" x14ac:dyDescent="0.25">
      <c r="A24" s="111" t="s">
        <v>588</v>
      </c>
      <c r="B24" s="112" t="s">
        <v>581</v>
      </c>
      <c r="C24" s="242">
        <v>38.24</v>
      </c>
      <c r="D24" s="113">
        <f t="shared" si="1"/>
        <v>0.31440000000000001</v>
      </c>
      <c r="E24" s="423">
        <f>загальновироб!I28</f>
        <v>20.399999999999999</v>
      </c>
      <c r="F24" s="113">
        <f t="shared" si="2"/>
        <v>0.2</v>
      </c>
    </row>
    <row r="25" spans="1:7" x14ac:dyDescent="0.25">
      <c r="A25" s="111" t="s">
        <v>589</v>
      </c>
      <c r="B25" s="264" t="s">
        <v>461</v>
      </c>
      <c r="C25" s="242">
        <v>11.38</v>
      </c>
      <c r="D25" s="113">
        <f t="shared" si="1"/>
        <v>9.3600000000000003E-2</v>
      </c>
      <c r="E25" s="423">
        <f>загальновироб!I36</f>
        <v>11.38</v>
      </c>
      <c r="F25" s="113">
        <f t="shared" si="2"/>
        <v>0.11</v>
      </c>
    </row>
    <row r="26" spans="1:7" x14ac:dyDescent="0.25">
      <c r="A26" s="111" t="s">
        <v>590</v>
      </c>
      <c r="B26" s="261" t="s">
        <v>184</v>
      </c>
      <c r="C26" s="242">
        <v>1.32</v>
      </c>
      <c r="D26" s="113">
        <f t="shared" si="1"/>
        <v>1.09E-2</v>
      </c>
      <c r="E26" s="423">
        <f>загальновироб!G24</f>
        <v>1.3480000000000001</v>
      </c>
      <c r="F26" s="113">
        <f t="shared" si="2"/>
        <v>0.01</v>
      </c>
    </row>
    <row r="27" spans="1:7" x14ac:dyDescent="0.25">
      <c r="A27" s="111" t="s">
        <v>591</v>
      </c>
      <c r="B27" s="261" t="s">
        <v>468</v>
      </c>
      <c r="C27" s="242">
        <v>5.8</v>
      </c>
      <c r="D27" s="113">
        <f t="shared" si="1"/>
        <v>4.7699999999999999E-2</v>
      </c>
      <c r="E27" s="423">
        <f>загальновироб!G47</f>
        <v>6</v>
      </c>
      <c r="F27" s="113">
        <f t="shared" si="2"/>
        <v>0.06</v>
      </c>
    </row>
    <row r="28" spans="1:7" x14ac:dyDescent="0.25">
      <c r="A28" s="111" t="s">
        <v>592</v>
      </c>
      <c r="B28" s="264" t="s">
        <v>459</v>
      </c>
      <c r="C28" s="242">
        <v>1.5</v>
      </c>
      <c r="D28" s="113">
        <f t="shared" si="1"/>
        <v>1.23E-2</v>
      </c>
      <c r="E28" s="423">
        <f>загальновироб!G35</f>
        <v>1.5</v>
      </c>
      <c r="F28" s="113">
        <f t="shared" si="2"/>
        <v>0.02</v>
      </c>
    </row>
    <row r="29" spans="1:7" ht="31.5" x14ac:dyDescent="0.25">
      <c r="A29" s="111" t="s">
        <v>593</v>
      </c>
      <c r="B29" s="261" t="s">
        <v>174</v>
      </c>
      <c r="C29" s="242">
        <v>0</v>
      </c>
      <c r="D29" s="113">
        <f t="shared" si="1"/>
        <v>0</v>
      </c>
      <c r="E29" s="423">
        <f>загальновироб!I14</f>
        <v>5.29</v>
      </c>
      <c r="F29" s="113">
        <f t="shared" si="2"/>
        <v>0.05</v>
      </c>
    </row>
    <row r="30" spans="1:7" ht="47.25" x14ac:dyDescent="0.25">
      <c r="A30" s="111" t="s">
        <v>594</v>
      </c>
      <c r="B30" s="261" t="s">
        <v>186</v>
      </c>
      <c r="C30" s="242">
        <v>4.0199999999999996</v>
      </c>
      <c r="D30" s="113">
        <f t="shared" si="1"/>
        <v>3.3000000000000002E-2</v>
      </c>
      <c r="E30" s="423">
        <f>загальновироб!G27</f>
        <v>5.7</v>
      </c>
      <c r="F30" s="113">
        <f t="shared" si="2"/>
        <v>0.06</v>
      </c>
    </row>
    <row r="31" spans="1:7" x14ac:dyDescent="0.25">
      <c r="A31" s="111" t="s">
        <v>595</v>
      </c>
      <c r="B31" s="261" t="s">
        <v>509</v>
      </c>
      <c r="C31" s="242">
        <v>0</v>
      </c>
      <c r="D31" s="113">
        <f t="shared" si="1"/>
        <v>0</v>
      </c>
      <c r="E31" s="423">
        <f>загальновироб!G54</f>
        <v>0.5</v>
      </c>
      <c r="F31" s="113">
        <f t="shared" si="2"/>
        <v>0.01</v>
      </c>
    </row>
    <row r="32" spans="1:7" x14ac:dyDescent="0.25">
      <c r="A32" s="110" t="s">
        <v>319</v>
      </c>
      <c r="B32" s="108" t="s">
        <v>320</v>
      </c>
      <c r="C32" s="241">
        <f>SUM(C33:C44)</f>
        <v>329.09999999999997</v>
      </c>
      <c r="D32" s="109">
        <f>SUM(D33:D44)</f>
        <v>2.7055999999999996</v>
      </c>
      <c r="E32" s="241">
        <f>SUM(E33:E44)</f>
        <v>424.38</v>
      </c>
      <c r="F32" s="109">
        <f>SUM(F33:F44)</f>
        <v>4.24</v>
      </c>
    </row>
    <row r="33" spans="1:11" x14ac:dyDescent="0.25">
      <c r="A33" s="111" t="s">
        <v>321</v>
      </c>
      <c r="B33" s="112" t="s">
        <v>171</v>
      </c>
      <c r="C33" s="242">
        <v>252.2</v>
      </c>
      <c r="D33" s="113">
        <f t="shared" ref="D33:D44" si="3">ROUND(C33/$C$67,4)</f>
        <v>2.0733999999999999</v>
      </c>
      <c r="E33" s="242">
        <f>админ!I9</f>
        <v>309.86</v>
      </c>
      <c r="F33" s="113">
        <f t="shared" ref="F33:F44" si="4">ROUND(E33/$E$67,2)</f>
        <v>3.1</v>
      </c>
    </row>
    <row r="34" spans="1:11" x14ac:dyDescent="0.25">
      <c r="A34" s="111" t="s">
        <v>322</v>
      </c>
      <c r="B34" s="112" t="s">
        <v>309</v>
      </c>
      <c r="C34" s="242">
        <v>55.5</v>
      </c>
      <c r="D34" s="113">
        <f t="shared" si="3"/>
        <v>0.45629999999999998</v>
      </c>
      <c r="E34" s="242">
        <f>админ!I10</f>
        <v>68.17</v>
      </c>
      <c r="F34" s="113">
        <f t="shared" si="4"/>
        <v>0.68</v>
      </c>
    </row>
    <row r="35" spans="1:11" x14ac:dyDescent="0.25">
      <c r="A35" s="111" t="s">
        <v>323</v>
      </c>
      <c r="B35" s="112" t="s">
        <v>310</v>
      </c>
      <c r="C35" s="242">
        <v>0</v>
      </c>
      <c r="D35" s="113">
        <f t="shared" si="3"/>
        <v>0</v>
      </c>
      <c r="E35" s="242">
        <v>0</v>
      </c>
      <c r="F35" s="113">
        <f t="shared" si="4"/>
        <v>0</v>
      </c>
    </row>
    <row r="36" spans="1:11" x14ac:dyDescent="0.25">
      <c r="A36" s="111" t="s">
        <v>324</v>
      </c>
      <c r="B36" s="261" t="s">
        <v>671</v>
      </c>
      <c r="C36" s="242">
        <v>0</v>
      </c>
      <c r="D36" s="113">
        <f t="shared" si="3"/>
        <v>0</v>
      </c>
      <c r="E36" s="242">
        <f>админ!I27</f>
        <v>25.25</v>
      </c>
      <c r="F36" s="113">
        <f t="shared" si="4"/>
        <v>0.25</v>
      </c>
    </row>
    <row r="37" spans="1:11" x14ac:dyDescent="0.25">
      <c r="A37" s="111" t="s">
        <v>598</v>
      </c>
      <c r="B37" s="112" t="s">
        <v>582</v>
      </c>
      <c r="C37" s="242">
        <v>14.399999999999999</v>
      </c>
      <c r="D37" s="113">
        <f t="shared" si="3"/>
        <v>0.11840000000000001</v>
      </c>
      <c r="E37" s="242">
        <f>админ!I34</f>
        <v>12.7</v>
      </c>
      <c r="F37" s="113">
        <f t="shared" si="4"/>
        <v>0.13</v>
      </c>
      <c r="K37" s="261"/>
    </row>
    <row r="38" spans="1:11" x14ac:dyDescent="0.25">
      <c r="A38" s="111" t="s">
        <v>599</v>
      </c>
      <c r="B38" s="112" t="s">
        <v>581</v>
      </c>
      <c r="C38" s="242">
        <v>0</v>
      </c>
      <c r="D38" s="113">
        <f t="shared" si="3"/>
        <v>0</v>
      </c>
      <c r="E38" s="242">
        <f>админ!I41</f>
        <v>0</v>
      </c>
      <c r="F38" s="113">
        <f t="shared" si="4"/>
        <v>0</v>
      </c>
    </row>
    <row r="39" spans="1:11" x14ac:dyDescent="0.25">
      <c r="A39" s="111" t="s">
        <v>600</v>
      </c>
      <c r="B39" s="112" t="s">
        <v>597</v>
      </c>
      <c r="C39" s="242">
        <v>0</v>
      </c>
      <c r="D39" s="113">
        <f t="shared" si="3"/>
        <v>0</v>
      </c>
      <c r="E39" s="242">
        <f>админ!I17</f>
        <v>0</v>
      </c>
      <c r="F39" s="113">
        <f t="shared" si="4"/>
        <v>0</v>
      </c>
      <c r="K39" s="261"/>
    </row>
    <row r="40" spans="1:11" x14ac:dyDescent="0.25">
      <c r="A40" s="111" t="s">
        <v>601</v>
      </c>
      <c r="B40" s="112" t="s">
        <v>583</v>
      </c>
      <c r="C40" s="374">
        <v>2</v>
      </c>
      <c r="D40" s="113">
        <f t="shared" si="3"/>
        <v>1.6400000000000001E-2</v>
      </c>
      <c r="E40" s="242">
        <f>админ!I38</f>
        <v>5</v>
      </c>
      <c r="F40" s="113">
        <f t="shared" si="4"/>
        <v>0.05</v>
      </c>
    </row>
    <row r="41" spans="1:11" x14ac:dyDescent="0.25">
      <c r="A41" s="111" t="s">
        <v>602</v>
      </c>
      <c r="B41" s="112" t="s">
        <v>596</v>
      </c>
      <c r="C41" s="242">
        <v>0</v>
      </c>
      <c r="D41" s="113">
        <f t="shared" si="3"/>
        <v>0</v>
      </c>
      <c r="E41" s="242">
        <v>0</v>
      </c>
      <c r="F41" s="113">
        <f t="shared" si="4"/>
        <v>0</v>
      </c>
    </row>
    <row r="42" spans="1:11" x14ac:dyDescent="0.25">
      <c r="A42" s="111" t="s">
        <v>603</v>
      </c>
      <c r="B42" s="112" t="s">
        <v>247</v>
      </c>
      <c r="C42" s="242">
        <v>1.4</v>
      </c>
      <c r="D42" s="113">
        <f t="shared" si="3"/>
        <v>1.15E-2</v>
      </c>
      <c r="E42" s="242">
        <f>админ!G14</f>
        <v>0.2</v>
      </c>
      <c r="F42" s="113">
        <f t="shared" si="4"/>
        <v>0</v>
      </c>
    </row>
    <row r="43" spans="1:11" x14ac:dyDescent="0.25">
      <c r="A43" s="111" t="s">
        <v>604</v>
      </c>
      <c r="B43" s="112" t="s">
        <v>246</v>
      </c>
      <c r="C43" s="242">
        <v>0</v>
      </c>
      <c r="D43" s="113">
        <f t="shared" si="3"/>
        <v>0</v>
      </c>
      <c r="E43" s="242">
        <f>админ!G13</f>
        <v>0.2</v>
      </c>
      <c r="F43" s="113">
        <f t="shared" si="4"/>
        <v>0</v>
      </c>
    </row>
    <row r="44" spans="1:11" x14ac:dyDescent="0.25">
      <c r="A44" s="111" t="s">
        <v>605</v>
      </c>
      <c r="B44" s="261" t="s">
        <v>261</v>
      </c>
      <c r="C44" s="242">
        <v>3.6</v>
      </c>
      <c r="D44" s="113">
        <f t="shared" si="3"/>
        <v>2.9600000000000001E-2</v>
      </c>
      <c r="E44" s="242">
        <f>админ!G46</f>
        <v>3</v>
      </c>
      <c r="F44" s="113">
        <f t="shared" si="4"/>
        <v>0.03</v>
      </c>
    </row>
    <row r="45" spans="1:11" x14ac:dyDescent="0.25">
      <c r="A45" s="110" t="s">
        <v>325</v>
      </c>
      <c r="B45" s="108" t="s">
        <v>326</v>
      </c>
      <c r="C45" s="241">
        <f>SUM(C46:C53)</f>
        <v>344.22399999999999</v>
      </c>
      <c r="D45" s="109">
        <f t="shared" ref="D45:F45" si="5">SUM(D46:D53)</f>
        <v>2.8298999999999999</v>
      </c>
      <c r="E45" s="241">
        <f t="shared" si="5"/>
        <v>564.82000000000005</v>
      </c>
      <c r="F45" s="109">
        <f t="shared" si="5"/>
        <v>5.6499999999999995</v>
      </c>
    </row>
    <row r="46" spans="1:11" x14ac:dyDescent="0.25">
      <c r="A46" s="111" t="s">
        <v>327</v>
      </c>
      <c r="B46" s="112" t="s">
        <v>171</v>
      </c>
      <c r="C46" s="242">
        <v>269</v>
      </c>
      <c r="D46" s="113">
        <f>ROUND(C46/$C$67,4)</f>
        <v>2.2115</v>
      </c>
      <c r="E46" s="242">
        <f>збут!I9</f>
        <v>282.56</v>
      </c>
      <c r="F46" s="113">
        <f t="shared" ref="F46:F55" si="6">ROUND(E46/$E$67,2)</f>
        <v>2.83</v>
      </c>
    </row>
    <row r="47" spans="1:11" x14ac:dyDescent="0.25">
      <c r="A47" s="111" t="s">
        <v>328</v>
      </c>
      <c r="B47" s="112" t="s">
        <v>309</v>
      </c>
      <c r="C47" s="242">
        <v>59.2</v>
      </c>
      <c r="D47" s="113">
        <f t="shared" ref="D47:D53" si="7">ROUND(C47/$C$67,4)</f>
        <v>0.48670000000000002</v>
      </c>
      <c r="E47" s="242">
        <f>збут!I10</f>
        <v>62.16</v>
      </c>
      <c r="F47" s="113">
        <f t="shared" si="6"/>
        <v>0.62</v>
      </c>
    </row>
    <row r="48" spans="1:11" x14ac:dyDescent="0.25">
      <c r="A48" s="111" t="s">
        <v>329</v>
      </c>
      <c r="B48" s="261" t="s">
        <v>504</v>
      </c>
      <c r="C48" s="242">
        <v>0</v>
      </c>
      <c r="D48" s="113">
        <f t="shared" si="7"/>
        <v>0</v>
      </c>
      <c r="E48" s="242">
        <f>збут!G11</f>
        <v>197</v>
      </c>
      <c r="F48" s="113">
        <f t="shared" si="6"/>
        <v>1.97</v>
      </c>
    </row>
    <row r="49" spans="1:6" x14ac:dyDescent="0.25">
      <c r="A49" s="111" t="s">
        <v>330</v>
      </c>
      <c r="B49" s="112" t="s">
        <v>584</v>
      </c>
      <c r="C49" s="242">
        <v>3.4</v>
      </c>
      <c r="D49" s="113">
        <f t="shared" si="7"/>
        <v>2.8000000000000001E-2</v>
      </c>
      <c r="E49" s="242">
        <f>збут!I15</f>
        <v>8.6999999999999993</v>
      </c>
      <c r="F49" s="113">
        <f t="shared" si="6"/>
        <v>0.09</v>
      </c>
    </row>
    <row r="50" spans="1:6" x14ac:dyDescent="0.25">
      <c r="A50" s="111" t="s">
        <v>606</v>
      </c>
      <c r="B50" s="112" t="s">
        <v>585</v>
      </c>
      <c r="C50" s="242">
        <v>1.1000000000000001</v>
      </c>
      <c r="D50" s="113">
        <f t="shared" si="7"/>
        <v>8.9999999999999993E-3</v>
      </c>
      <c r="E50" s="242">
        <f>збут!I17</f>
        <v>3</v>
      </c>
      <c r="F50" s="113">
        <f t="shared" si="6"/>
        <v>0.03</v>
      </c>
    </row>
    <row r="51" spans="1:6" ht="63" x14ac:dyDescent="0.25">
      <c r="A51" s="111" t="s">
        <v>607</v>
      </c>
      <c r="B51" s="114" t="s">
        <v>586</v>
      </c>
      <c r="C51" s="242">
        <v>2</v>
      </c>
      <c r="D51" s="113">
        <f t="shared" si="7"/>
        <v>1.6400000000000001E-2</v>
      </c>
      <c r="E51" s="242">
        <f>збут!I18</f>
        <v>2</v>
      </c>
      <c r="F51" s="113">
        <f t="shared" si="6"/>
        <v>0.02</v>
      </c>
    </row>
    <row r="52" spans="1:6" x14ac:dyDescent="0.25">
      <c r="A52" s="111" t="s">
        <v>608</v>
      </c>
      <c r="B52" s="261" t="s">
        <v>621</v>
      </c>
      <c r="C52" s="419">
        <v>9.02</v>
      </c>
      <c r="D52" s="113">
        <f t="shared" si="7"/>
        <v>7.4200000000000002E-2</v>
      </c>
      <c r="E52" s="242">
        <f>збут!G12</f>
        <v>9</v>
      </c>
      <c r="F52" s="113">
        <f t="shared" si="6"/>
        <v>0.09</v>
      </c>
    </row>
    <row r="53" spans="1:6" x14ac:dyDescent="0.25">
      <c r="A53" s="111" t="s">
        <v>609</v>
      </c>
      <c r="B53" s="112" t="s">
        <v>587</v>
      </c>
      <c r="C53" s="242">
        <v>0.504</v>
      </c>
      <c r="D53" s="113">
        <f t="shared" si="7"/>
        <v>4.1000000000000003E-3</v>
      </c>
      <c r="E53" s="242">
        <f>збут!I19</f>
        <v>0.4</v>
      </c>
      <c r="F53" s="113">
        <f t="shared" si="6"/>
        <v>0</v>
      </c>
    </row>
    <row r="54" spans="1:6" x14ac:dyDescent="0.25">
      <c r="A54" s="110" t="s">
        <v>331</v>
      </c>
      <c r="B54" s="108" t="s">
        <v>87</v>
      </c>
      <c r="C54" s="241">
        <v>0</v>
      </c>
      <c r="D54" s="113">
        <f>ROUND(C54/$C$67,4)</f>
        <v>0</v>
      </c>
      <c r="E54" s="109">
        <v>0</v>
      </c>
      <c r="F54" s="113">
        <f t="shared" si="6"/>
        <v>0</v>
      </c>
    </row>
    <row r="55" spans="1:6" x14ac:dyDescent="0.25">
      <c r="A55" s="110" t="s">
        <v>332</v>
      </c>
      <c r="B55" s="108" t="s">
        <v>88</v>
      </c>
      <c r="C55" s="241">
        <v>0</v>
      </c>
      <c r="D55" s="113">
        <f>ROUND(C55/$C$67,4)</f>
        <v>0</v>
      </c>
      <c r="E55" s="241">
        <v>0</v>
      </c>
      <c r="F55" s="113">
        <f t="shared" si="6"/>
        <v>0</v>
      </c>
    </row>
    <row r="56" spans="1:6" x14ac:dyDescent="0.25">
      <c r="A56" s="110" t="s">
        <v>333</v>
      </c>
      <c r="B56" s="108" t="s">
        <v>334</v>
      </c>
      <c r="C56" s="241">
        <f>C7+C32+C45+C54+C55</f>
        <v>2006.4839999999999</v>
      </c>
      <c r="D56" s="109">
        <f>D7+D32+D45+D54+D55</f>
        <v>16.495799999999996</v>
      </c>
      <c r="E56" s="109">
        <f>E7+E32+E45+E54+E55-0.04</f>
        <v>2400.348</v>
      </c>
      <c r="F56" s="109">
        <f>F7+F32+F45+F54+F55</f>
        <v>23.999999999999996</v>
      </c>
    </row>
    <row r="57" spans="1:6" x14ac:dyDescent="0.25">
      <c r="A57" s="110" t="s">
        <v>335</v>
      </c>
      <c r="B57" s="108" t="s">
        <v>336</v>
      </c>
      <c r="C57" s="241">
        <f>C58+C59+C60+C61+C62</f>
        <v>0</v>
      </c>
      <c r="D57" s="109">
        <f t="shared" ref="D57:F57" si="8">D58+D59+D60+D61+D62</f>
        <v>0</v>
      </c>
      <c r="E57" s="241">
        <f t="shared" si="8"/>
        <v>0</v>
      </c>
      <c r="F57" s="109">
        <f t="shared" si="8"/>
        <v>0</v>
      </c>
    </row>
    <row r="58" spans="1:6" x14ac:dyDescent="0.25">
      <c r="A58" s="111" t="s">
        <v>110</v>
      </c>
      <c r="B58" s="112" t="s">
        <v>91</v>
      </c>
      <c r="C58" s="242">
        <v>0</v>
      </c>
      <c r="D58" s="113">
        <f>ROUND(C58/$C$67,4)</f>
        <v>0</v>
      </c>
      <c r="E58" s="242">
        <v>0</v>
      </c>
      <c r="F58" s="113">
        <f>ROUND(E58/$E$67,2)</f>
        <v>0</v>
      </c>
    </row>
    <row r="59" spans="1:6" x14ac:dyDescent="0.25">
      <c r="A59" s="111" t="s">
        <v>111</v>
      </c>
      <c r="B59" s="112" t="s">
        <v>93</v>
      </c>
      <c r="C59" s="242">
        <v>0</v>
      </c>
      <c r="D59" s="113">
        <f>ROUND(C59/$C$67,4)</f>
        <v>0</v>
      </c>
      <c r="E59" s="242">
        <v>0</v>
      </c>
      <c r="F59" s="113">
        <f>ROUND(E59/$E$67,2)</f>
        <v>0</v>
      </c>
    </row>
    <row r="60" spans="1:6" x14ac:dyDescent="0.25">
      <c r="A60" s="111" t="s">
        <v>337</v>
      </c>
      <c r="B60" s="112" t="s">
        <v>94</v>
      </c>
      <c r="C60" s="242">
        <v>0</v>
      </c>
      <c r="D60" s="113">
        <f>ROUND(C60/$C$67,4)</f>
        <v>0</v>
      </c>
      <c r="E60" s="242">
        <v>0</v>
      </c>
      <c r="F60" s="113">
        <f>ROUND(E60/$E$67,2)</f>
        <v>0</v>
      </c>
    </row>
    <row r="61" spans="1:6" x14ac:dyDescent="0.25">
      <c r="A61" s="111" t="s">
        <v>338</v>
      </c>
      <c r="B61" s="114" t="s">
        <v>95</v>
      </c>
      <c r="C61" s="242">
        <v>0</v>
      </c>
      <c r="D61" s="113">
        <f>ROUND(C61/$C$67,4)</f>
        <v>0</v>
      </c>
      <c r="E61" s="242">
        <v>0</v>
      </c>
      <c r="F61" s="113">
        <f>ROUND(E61/$E$67,2)</f>
        <v>0</v>
      </c>
    </row>
    <row r="62" spans="1:6" x14ac:dyDescent="0.25">
      <c r="A62" s="111" t="s">
        <v>339</v>
      </c>
      <c r="B62" s="112" t="s">
        <v>96</v>
      </c>
      <c r="C62" s="242">
        <v>0</v>
      </c>
      <c r="D62" s="113">
        <f>ROUND(C62/$C$67,4)</f>
        <v>0</v>
      </c>
      <c r="E62" s="242">
        <v>0</v>
      </c>
      <c r="F62" s="113">
        <f>ROUND(E62/$E$67,2)</f>
        <v>0</v>
      </c>
    </row>
    <row r="63" spans="1:6" ht="31.5" x14ac:dyDescent="0.25">
      <c r="A63" s="110" t="s">
        <v>340</v>
      </c>
      <c r="B63" s="120" t="s">
        <v>341</v>
      </c>
      <c r="C63" s="442">
        <f>C56+C57</f>
        <v>2006.4839999999999</v>
      </c>
      <c r="D63" s="443"/>
      <c r="E63" s="442">
        <f>E56+E57</f>
        <v>2400.348</v>
      </c>
      <c r="F63" s="443"/>
    </row>
    <row r="65" spans="1:8" ht="49.5" x14ac:dyDescent="0.25">
      <c r="A65" s="121">
        <v>9</v>
      </c>
      <c r="B65" s="383" t="s">
        <v>627</v>
      </c>
      <c r="C65" s="442">
        <f>C63/C67</f>
        <v>16.495942779627576</v>
      </c>
      <c r="D65" s="443"/>
      <c r="E65" s="442">
        <f>E63/E67</f>
        <v>24.00348</v>
      </c>
      <c r="F65" s="443"/>
      <c r="H65" s="285">
        <f>E65/C65-1</f>
        <v>0.45511416477779032</v>
      </c>
    </row>
    <row r="66" spans="1:8" x14ac:dyDescent="0.25">
      <c r="A66" s="123"/>
      <c r="B66" s="124"/>
      <c r="C66" s="125"/>
      <c r="D66" s="125"/>
      <c r="E66" s="125"/>
      <c r="F66" s="125"/>
    </row>
    <row r="67" spans="1:8" ht="18" x14ac:dyDescent="0.25">
      <c r="A67" s="110" t="s">
        <v>343</v>
      </c>
      <c r="B67" s="120" t="s">
        <v>432</v>
      </c>
      <c r="C67" s="440">
        <v>121.63499999999999</v>
      </c>
      <c r="D67" s="441"/>
      <c r="E67" s="440">
        <f>'річний план'!F28</f>
        <v>100</v>
      </c>
      <c r="F67" s="441"/>
    </row>
    <row r="68" spans="1:8" x14ac:dyDescent="0.25">
      <c r="A68" s="123"/>
      <c r="B68" s="124"/>
      <c r="C68" s="420" t="s">
        <v>626</v>
      </c>
      <c r="D68" s="125"/>
      <c r="E68" s="125" t="s">
        <v>626</v>
      </c>
      <c r="F68" s="125"/>
    </row>
    <row r="69" spans="1:8" ht="49.5" x14ac:dyDescent="0.25">
      <c r="A69" s="121">
        <v>12</v>
      </c>
      <c r="B69" s="120" t="s">
        <v>628</v>
      </c>
      <c r="C69" s="442">
        <f>C65*1.2</f>
        <v>19.795131335553091</v>
      </c>
      <c r="D69" s="443"/>
      <c r="E69" s="442">
        <f>E65*1.2</f>
        <v>28.804175999999998</v>
      </c>
      <c r="F69" s="443"/>
      <c r="H69" s="285">
        <f>E69/C69-1</f>
        <v>0.4551141647777901</v>
      </c>
    </row>
    <row r="70" spans="1:8" s="25" customFormat="1" ht="14.25" customHeight="1" x14ac:dyDescent="0.25">
      <c r="A70" s="34"/>
      <c r="B70" s="438" t="s">
        <v>15</v>
      </c>
      <c r="C70" s="68"/>
      <c r="D70" s="437" t="s">
        <v>57</v>
      </c>
      <c r="E70" s="437"/>
      <c r="F70" s="437"/>
      <c r="G70" s="35"/>
    </row>
    <row r="71" spans="1:8" s="25" customFormat="1" ht="14.25" customHeight="1" x14ac:dyDescent="0.25">
      <c r="A71" s="34"/>
      <c r="B71" s="438"/>
      <c r="C71" s="69" t="s">
        <v>17</v>
      </c>
      <c r="D71" s="431" t="s">
        <v>18</v>
      </c>
      <c r="E71" s="431"/>
      <c r="F71" s="431"/>
      <c r="G71" s="35"/>
    </row>
    <row r="72" spans="1:8" s="25" customFormat="1" ht="14.25" customHeight="1" x14ac:dyDescent="0.25">
      <c r="A72" s="70"/>
      <c r="B72" s="26"/>
      <c r="C72" s="32" t="s">
        <v>19</v>
      </c>
      <c r="G72" s="35"/>
    </row>
    <row r="73" spans="1:8" s="25" customFormat="1" x14ac:dyDescent="0.25">
      <c r="A73" s="34"/>
      <c r="B73" s="426" t="s">
        <v>647</v>
      </c>
      <c r="C73" s="426"/>
      <c r="G73" s="35"/>
    </row>
    <row r="75" spans="1:8" x14ac:dyDescent="0.25">
      <c r="C75" s="387"/>
      <c r="E75" s="337"/>
    </row>
    <row r="76" spans="1:8" x14ac:dyDescent="0.25">
      <c r="E76" s="337"/>
    </row>
    <row r="77" spans="1:8" x14ac:dyDescent="0.25">
      <c r="E77" s="337"/>
    </row>
    <row r="78" spans="1:8" x14ac:dyDescent="0.25">
      <c r="E78" s="337"/>
    </row>
  </sheetData>
  <mergeCells count="18">
    <mergeCell ref="A1:F1"/>
    <mergeCell ref="A4:A5"/>
    <mergeCell ref="B4:B5"/>
    <mergeCell ref="E4:F4"/>
    <mergeCell ref="C4:D4"/>
    <mergeCell ref="B70:B71"/>
    <mergeCell ref="D70:F70"/>
    <mergeCell ref="D71:F71"/>
    <mergeCell ref="B73:C73"/>
    <mergeCell ref="A2:F2"/>
    <mergeCell ref="E67:F67"/>
    <mergeCell ref="E63:F63"/>
    <mergeCell ref="E65:F65"/>
    <mergeCell ref="C63:D63"/>
    <mergeCell ref="C65:D65"/>
    <mergeCell ref="C67:D67"/>
    <mergeCell ref="C69:D69"/>
    <mergeCell ref="E69:F69"/>
  </mergeCells>
  <conditionalFormatting sqref="C17 E17">
    <cfRule type="containsText" dxfId="3" priority="7" stopIfTrue="1" operator="containsText" text="Додаток2">
      <formula>NOT(ISERROR(SEARCH("Додаток2",C17)))</formula>
    </cfRule>
    <cfRule type="containsText" dxfId="2" priority="8" stopIfTrue="1" operator="containsText" text="Додаток2">
      <formula>NOT(ISERROR(SEARCH("Додаток2",C17)))</formula>
    </cfRule>
  </conditionalFormatting>
  <pageMargins left="0.78740157480314965" right="0.39370078740157483" top="0" bottom="0" header="0" footer="0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="82" zoomScaleNormal="82" workbookViewId="0">
      <pane ySplit="6" topLeftCell="A19" activePane="bottomLeft" state="frozenSplit"/>
      <selection activeCell="H27" sqref="H27"/>
      <selection pane="bottomLeft" activeCell="E10" sqref="E10"/>
    </sheetView>
  </sheetViews>
  <sheetFormatPr defaultRowHeight="15.75" x14ac:dyDescent="0.25"/>
  <cols>
    <col min="1" max="1" width="10.7109375" style="101" customWidth="1"/>
    <col min="2" max="2" width="62.85546875" style="101" customWidth="1"/>
    <col min="3" max="3" width="15" style="101" bestFit="1" customWidth="1"/>
    <col min="4" max="4" width="10.5703125" style="101" customWidth="1"/>
    <col min="5" max="5" width="15" style="101" bestFit="1" customWidth="1"/>
    <col min="6" max="6" width="9.28515625" style="101" bestFit="1" customWidth="1"/>
    <col min="7" max="7" width="9.140625" style="101"/>
    <col min="8" max="8" width="10.7109375" style="101" bestFit="1" customWidth="1"/>
    <col min="9" max="16384" width="9.140625" style="101"/>
  </cols>
  <sheetData>
    <row r="1" spans="1:11" ht="18.75" x14ac:dyDescent="0.25">
      <c r="A1" s="444" t="s">
        <v>342</v>
      </c>
      <c r="B1" s="444"/>
      <c r="C1" s="444"/>
      <c r="D1" s="444"/>
      <c r="E1" s="444"/>
      <c r="F1" s="444"/>
    </row>
    <row r="2" spans="1:11" ht="18.75" x14ac:dyDescent="0.25">
      <c r="A2" s="439" t="s">
        <v>429</v>
      </c>
      <c r="B2" s="439"/>
      <c r="C2" s="439"/>
      <c r="D2" s="439"/>
      <c r="E2" s="439"/>
      <c r="F2" s="439"/>
    </row>
    <row r="3" spans="1:11" ht="32.25" customHeight="1" x14ac:dyDescent="0.25">
      <c r="A3" s="102"/>
      <c r="B3" s="102"/>
      <c r="C3" s="102"/>
      <c r="D3" s="103"/>
      <c r="E3" s="102"/>
      <c r="F3" s="245" t="s">
        <v>446</v>
      </c>
    </row>
    <row r="4" spans="1:11" s="104" customFormat="1" ht="48" customHeight="1" x14ac:dyDescent="0.25">
      <c r="A4" s="445" t="s">
        <v>292</v>
      </c>
      <c r="B4" s="446" t="s">
        <v>304</v>
      </c>
      <c r="C4" s="445" t="s">
        <v>74</v>
      </c>
      <c r="D4" s="446"/>
      <c r="E4" s="445" t="s">
        <v>644</v>
      </c>
      <c r="F4" s="446"/>
      <c r="J4" s="101"/>
      <c r="K4" s="101"/>
    </row>
    <row r="5" spans="1:11" s="104" customFormat="1" ht="18" x14ac:dyDescent="0.25">
      <c r="A5" s="445"/>
      <c r="B5" s="446"/>
      <c r="C5" s="144" t="s">
        <v>305</v>
      </c>
      <c r="D5" s="144" t="s">
        <v>430</v>
      </c>
      <c r="E5" s="144" t="s">
        <v>305</v>
      </c>
      <c r="F5" s="144" t="s">
        <v>430</v>
      </c>
      <c r="J5" s="101"/>
      <c r="K5" s="101"/>
    </row>
    <row r="6" spans="1:11" s="336" customFormat="1" x14ac:dyDescent="0.25">
      <c r="A6" s="105">
        <v>1</v>
      </c>
      <c r="B6" s="105">
        <v>2</v>
      </c>
      <c r="C6" s="105">
        <v>3</v>
      </c>
      <c r="D6" s="105">
        <v>4</v>
      </c>
      <c r="E6" s="105">
        <v>5</v>
      </c>
      <c r="F6" s="105">
        <v>6</v>
      </c>
      <c r="J6" s="101"/>
      <c r="K6" s="101"/>
    </row>
    <row r="7" spans="1:11" x14ac:dyDescent="0.25">
      <c r="A7" s="107">
        <v>1</v>
      </c>
      <c r="B7" s="108" t="s">
        <v>306</v>
      </c>
      <c r="C7" s="241">
        <f>C8+C13+C14+C19</f>
        <v>1333.2000000000003</v>
      </c>
      <c r="D7" s="109">
        <f>D8+D13+D14+D19</f>
        <v>10.9602</v>
      </c>
      <c r="E7" s="241">
        <f>E8+E13+E14+E19</f>
        <v>1411.1879999999999</v>
      </c>
      <c r="F7" s="109">
        <f>F8+F13+F14+F19</f>
        <v>14.109999999999998</v>
      </c>
    </row>
    <row r="8" spans="1:11" x14ac:dyDescent="0.25">
      <c r="A8" s="110" t="s">
        <v>59</v>
      </c>
      <c r="B8" s="108" t="s">
        <v>76</v>
      </c>
      <c r="C8" s="241">
        <f>C9+C10+C11+C12</f>
        <v>948.4</v>
      </c>
      <c r="D8" s="109">
        <f>D9+D10+D11+D12</f>
        <v>7.7967000000000004</v>
      </c>
      <c r="E8" s="241">
        <f>E9+E10+E11+E12</f>
        <v>1005.67</v>
      </c>
      <c r="F8" s="109">
        <f>F9+F10+F11+F12</f>
        <v>10.049999999999999</v>
      </c>
      <c r="G8" s="101" t="s">
        <v>630</v>
      </c>
    </row>
    <row r="9" spans="1:11" x14ac:dyDescent="0.25">
      <c r="A9" s="111" t="s">
        <v>103</v>
      </c>
      <c r="B9" s="112" t="s">
        <v>77</v>
      </c>
      <c r="C9" s="242">
        <v>45.4</v>
      </c>
      <c r="D9" s="113">
        <f>ROUND(C9/$C$47,4)</f>
        <v>0.37319999999999998</v>
      </c>
      <c r="E9" s="242">
        <f>'розрахунок тарифу'!H14</f>
        <v>41.2</v>
      </c>
      <c r="F9" s="113">
        <f>ROUND(E9/$E$47,2)</f>
        <v>0.41</v>
      </c>
    </row>
    <row r="10" spans="1:11" ht="31.5" x14ac:dyDescent="0.25">
      <c r="A10" s="111" t="s">
        <v>104</v>
      </c>
      <c r="B10" s="114" t="s">
        <v>445</v>
      </c>
      <c r="C10" s="242">
        <v>788</v>
      </c>
      <c r="D10" s="113">
        <f>ROUND(C10/$C$47,4)</f>
        <v>6.4781000000000004</v>
      </c>
      <c r="E10" s="242">
        <f>'розрахунок тарифу'!H12</f>
        <v>829.43</v>
      </c>
      <c r="F10" s="113">
        <f>ROUND(E10/$E$47,2)</f>
        <v>8.2899999999999991</v>
      </c>
    </row>
    <row r="11" spans="1:11" x14ac:dyDescent="0.25">
      <c r="A11" s="111" t="s">
        <v>105</v>
      </c>
      <c r="B11" s="112" t="s">
        <v>307</v>
      </c>
      <c r="C11" s="242">
        <v>35</v>
      </c>
      <c r="D11" s="113">
        <f>ROUND(C11/$C$47,4)</f>
        <v>0.28770000000000001</v>
      </c>
      <c r="E11" s="242">
        <v>35.04</v>
      </c>
      <c r="F11" s="113">
        <f>ROUND(E11/$E$47,2)</f>
        <v>0.35</v>
      </c>
    </row>
    <row r="12" spans="1:11" s="115" customFormat="1" ht="31.5" x14ac:dyDescent="0.25">
      <c r="A12" s="111" t="s">
        <v>106</v>
      </c>
      <c r="B12" s="114" t="s">
        <v>308</v>
      </c>
      <c r="C12" s="242">
        <v>80</v>
      </c>
      <c r="D12" s="113">
        <f>ROUND(C12/$C$47,4)</f>
        <v>0.65769999999999995</v>
      </c>
      <c r="E12" s="242">
        <f>'розрахунок тарифу'!H15</f>
        <v>100</v>
      </c>
      <c r="F12" s="113">
        <f>ROUND(E12/$E$47,2)</f>
        <v>1</v>
      </c>
    </row>
    <row r="13" spans="1:11" x14ac:dyDescent="0.25">
      <c r="A13" s="110" t="s">
        <v>60</v>
      </c>
      <c r="B13" s="108" t="s">
        <v>79</v>
      </c>
      <c r="C13" s="241">
        <v>232.5</v>
      </c>
      <c r="D13" s="113">
        <f>ROUND(C13/$C$47,4)</f>
        <v>1.9114</v>
      </c>
      <c r="E13" s="241">
        <f>'розрахунок тарифу'!H16</f>
        <v>285.60000000000002</v>
      </c>
      <c r="F13" s="113">
        <f>ROUND(E13/$E$47,2)</f>
        <v>2.86</v>
      </c>
      <c r="G13" s="101" t="s">
        <v>630</v>
      </c>
    </row>
    <row r="14" spans="1:11" x14ac:dyDescent="0.25">
      <c r="A14" s="110" t="s">
        <v>61</v>
      </c>
      <c r="B14" s="108" t="s">
        <v>80</v>
      </c>
      <c r="C14" s="241">
        <f>C15+C16+C17+C18</f>
        <v>55.900000000000006</v>
      </c>
      <c r="D14" s="109">
        <f t="shared" ref="D14:F14" si="0">D15+D16+D17+D18</f>
        <v>0.45959999999999995</v>
      </c>
      <c r="E14" s="241">
        <f t="shared" si="0"/>
        <v>67.8</v>
      </c>
      <c r="F14" s="109">
        <f t="shared" si="0"/>
        <v>0.68</v>
      </c>
      <c r="G14" s="101" t="s">
        <v>630</v>
      </c>
    </row>
    <row r="15" spans="1:11" x14ac:dyDescent="0.25">
      <c r="A15" s="111" t="s">
        <v>107</v>
      </c>
      <c r="B15" s="112" t="s">
        <v>309</v>
      </c>
      <c r="C15" s="242">
        <v>51.1</v>
      </c>
      <c r="D15" s="113">
        <f>ROUND(C15/$C$47,4)</f>
        <v>0.42009999999999997</v>
      </c>
      <c r="E15" s="242">
        <f>'розрахунок тарифу'!H18</f>
        <v>62.8</v>
      </c>
      <c r="F15" s="113">
        <f>ROUND(E15/$E$47,2)</f>
        <v>0.63</v>
      </c>
    </row>
    <row r="16" spans="1:11" x14ac:dyDescent="0.25">
      <c r="A16" s="111" t="s">
        <v>108</v>
      </c>
      <c r="B16" s="112" t="s">
        <v>310</v>
      </c>
      <c r="C16" s="242">
        <v>0</v>
      </c>
      <c r="D16" s="113">
        <f>ROUND(C16/$C$47,4)</f>
        <v>0</v>
      </c>
      <c r="E16" s="242">
        <f>'розрахунок тарифу'!H19</f>
        <v>0</v>
      </c>
      <c r="F16" s="113">
        <f>ROUND(E16/$E$47,2)</f>
        <v>0</v>
      </c>
    </row>
    <row r="17" spans="1:7" s="119" customFormat="1" x14ac:dyDescent="0.25">
      <c r="A17" s="116" t="s">
        <v>109</v>
      </c>
      <c r="B17" s="117" t="s">
        <v>311</v>
      </c>
      <c r="C17" s="243">
        <v>0</v>
      </c>
      <c r="D17" s="113">
        <f>ROUND(C17/$C$47,4)</f>
        <v>0</v>
      </c>
      <c r="E17" s="242">
        <v>0</v>
      </c>
      <c r="F17" s="113">
        <f>ROUND(E17/$E$47,2)</f>
        <v>0</v>
      </c>
      <c r="G17" s="118"/>
    </row>
    <row r="18" spans="1:7" x14ac:dyDescent="0.25">
      <c r="A18" s="111" t="s">
        <v>312</v>
      </c>
      <c r="B18" s="112" t="s">
        <v>83</v>
      </c>
      <c r="C18" s="242">
        <v>4.8000000000000007</v>
      </c>
      <c r="D18" s="113">
        <f>ROUND(C18/$C$47,4)</f>
        <v>3.95E-2</v>
      </c>
      <c r="E18" s="242">
        <f>'розрахунок тарифу'!H20</f>
        <v>5</v>
      </c>
      <c r="F18" s="113">
        <f>ROUND(E18/$E$47,2)</f>
        <v>0.05</v>
      </c>
    </row>
    <row r="19" spans="1:7" x14ac:dyDescent="0.25">
      <c r="A19" s="110" t="s">
        <v>62</v>
      </c>
      <c r="B19" s="108" t="s">
        <v>313</v>
      </c>
      <c r="C19" s="241">
        <f>C20+C21+C22+C23</f>
        <v>96.4</v>
      </c>
      <c r="D19" s="109">
        <f t="shared" ref="D19:F19" si="1">D20+D21+D22+D23</f>
        <v>0.79249999999999998</v>
      </c>
      <c r="E19" s="241">
        <f t="shared" si="1"/>
        <v>52.118000000000002</v>
      </c>
      <c r="F19" s="109">
        <f t="shared" si="1"/>
        <v>0.52</v>
      </c>
      <c r="G19" s="101" t="s">
        <v>630</v>
      </c>
    </row>
    <row r="20" spans="1:7" x14ac:dyDescent="0.25">
      <c r="A20" s="111" t="s">
        <v>314</v>
      </c>
      <c r="B20" s="112" t="s">
        <v>171</v>
      </c>
      <c r="C20" s="242">
        <v>0</v>
      </c>
      <c r="D20" s="113">
        <f>ROUND(C20/$C$47,4)</f>
        <v>0</v>
      </c>
      <c r="E20" s="242">
        <f>загальновироб!I10</f>
        <v>0</v>
      </c>
      <c r="F20" s="113">
        <f>ROUND(E20/$E$47,2)</f>
        <v>0</v>
      </c>
    </row>
    <row r="21" spans="1:7" x14ac:dyDescent="0.25">
      <c r="A21" s="111" t="s">
        <v>315</v>
      </c>
      <c r="B21" s="112" t="s">
        <v>309</v>
      </c>
      <c r="C21" s="242">
        <v>0</v>
      </c>
      <c r="D21" s="113">
        <f>ROUND(C21/$C$47,4)</f>
        <v>0</v>
      </c>
      <c r="E21" s="242">
        <f>загальновироб!I11</f>
        <v>0</v>
      </c>
      <c r="F21" s="113">
        <f>ROUND(E21/$E$47,2)</f>
        <v>0</v>
      </c>
    </row>
    <row r="22" spans="1:7" x14ac:dyDescent="0.25">
      <c r="A22" s="111" t="s">
        <v>316</v>
      </c>
      <c r="B22" s="112" t="s">
        <v>310</v>
      </c>
      <c r="C22" s="242">
        <v>0</v>
      </c>
      <c r="D22" s="113">
        <f>ROUND(C22/$C$47,4)</f>
        <v>0</v>
      </c>
      <c r="E22" s="242">
        <v>0</v>
      </c>
      <c r="F22" s="113">
        <f>ROUND(E22/$E$47,2)</f>
        <v>0</v>
      </c>
    </row>
    <row r="23" spans="1:7" x14ac:dyDescent="0.25">
      <c r="A23" s="111" t="s">
        <v>317</v>
      </c>
      <c r="B23" s="112" t="s">
        <v>318</v>
      </c>
      <c r="C23" s="242">
        <v>96.4</v>
      </c>
      <c r="D23" s="113">
        <f>ROUND(C23/$C$47,4)</f>
        <v>0.79249999999999998</v>
      </c>
      <c r="E23" s="242">
        <f>'розрахунок тарифу'!H21-E20-E21-E22</f>
        <v>52.118000000000002</v>
      </c>
      <c r="F23" s="113">
        <f>ROUND(E23/$E$47,2)</f>
        <v>0.52</v>
      </c>
    </row>
    <row r="24" spans="1:7" x14ac:dyDescent="0.25">
      <c r="A24" s="110" t="s">
        <v>319</v>
      </c>
      <c r="B24" s="108" t="s">
        <v>320</v>
      </c>
      <c r="C24" s="241">
        <f>C25+C26+C27+C28</f>
        <v>329.14</v>
      </c>
      <c r="D24" s="109">
        <f t="shared" ref="D24:F24" si="2">D25+D26+D27+D28</f>
        <v>2.7059000000000002</v>
      </c>
      <c r="E24" s="241">
        <f t="shared" si="2"/>
        <v>424.38</v>
      </c>
      <c r="F24" s="109">
        <f t="shared" si="2"/>
        <v>4.24</v>
      </c>
      <c r="G24" s="101" t="s">
        <v>630</v>
      </c>
    </row>
    <row r="25" spans="1:7" x14ac:dyDescent="0.25">
      <c r="A25" s="111" t="s">
        <v>321</v>
      </c>
      <c r="B25" s="112" t="s">
        <v>171</v>
      </c>
      <c r="C25" s="242">
        <v>252.24</v>
      </c>
      <c r="D25" s="113">
        <f>ROUND(C25/$C$47,4)</f>
        <v>2.0737000000000001</v>
      </c>
      <c r="E25" s="242">
        <f>админ!I9</f>
        <v>309.86</v>
      </c>
      <c r="F25" s="113">
        <f>ROUND(E25/$E$47,2)</f>
        <v>3.1</v>
      </c>
    </row>
    <row r="26" spans="1:7" x14ac:dyDescent="0.25">
      <c r="A26" s="111" t="s">
        <v>322</v>
      </c>
      <c r="B26" s="112" t="s">
        <v>309</v>
      </c>
      <c r="C26" s="242">
        <v>55.5</v>
      </c>
      <c r="D26" s="113">
        <f>ROUND(C26/$C$47,4)</f>
        <v>0.45629999999999998</v>
      </c>
      <c r="E26" s="242">
        <f>админ!I10</f>
        <v>68.17</v>
      </c>
      <c r="F26" s="113">
        <f>ROUND(E26/$E$47,2)</f>
        <v>0.68</v>
      </c>
    </row>
    <row r="27" spans="1:7" x14ac:dyDescent="0.25">
      <c r="A27" s="111" t="s">
        <v>323</v>
      </c>
      <c r="B27" s="112" t="s">
        <v>310</v>
      </c>
      <c r="C27" s="242">
        <v>0</v>
      </c>
      <c r="D27" s="113">
        <f>ROUND(C27/$C$47,4)</f>
        <v>0</v>
      </c>
      <c r="E27" s="242">
        <v>0</v>
      </c>
      <c r="F27" s="113">
        <f>ROUND(E27/$E$47,2)</f>
        <v>0</v>
      </c>
    </row>
    <row r="28" spans="1:7" x14ac:dyDescent="0.25">
      <c r="A28" s="111" t="s">
        <v>324</v>
      </c>
      <c r="B28" s="112" t="s">
        <v>318</v>
      </c>
      <c r="C28" s="242">
        <v>21.4</v>
      </c>
      <c r="D28" s="113">
        <f>ROUND(C28/$C$47,4)</f>
        <v>0.1759</v>
      </c>
      <c r="E28" s="242">
        <f>'розрахунок тарифу'!H22-E25-E26-E27</f>
        <v>46.34999999999998</v>
      </c>
      <c r="F28" s="113">
        <f>ROUND(E28/$E$47,2)</f>
        <v>0.46</v>
      </c>
    </row>
    <row r="29" spans="1:7" x14ac:dyDescent="0.25">
      <c r="A29" s="110" t="s">
        <v>325</v>
      </c>
      <c r="B29" s="108" t="s">
        <v>326</v>
      </c>
      <c r="C29" s="241">
        <f>C30+C31+C32+C33</f>
        <v>344.2</v>
      </c>
      <c r="D29" s="109">
        <f>D30+D31+D32+D33</f>
        <v>2.8295999999999997</v>
      </c>
      <c r="E29" s="241">
        <f t="shared" ref="E29" si="3">E30+E31+E32+E33</f>
        <v>564.82000000000005</v>
      </c>
      <c r="F29" s="109">
        <f>F30+F31+F32+F33</f>
        <v>5.65</v>
      </c>
      <c r="G29" s="101" t="s">
        <v>630</v>
      </c>
    </row>
    <row r="30" spans="1:7" x14ac:dyDescent="0.25">
      <c r="A30" s="111" t="s">
        <v>327</v>
      </c>
      <c r="B30" s="112" t="s">
        <v>171</v>
      </c>
      <c r="C30" s="242">
        <v>269</v>
      </c>
      <c r="D30" s="113">
        <f t="shared" ref="D30:D35" si="4">ROUND(C30/$C$47,4)</f>
        <v>2.2113999999999998</v>
      </c>
      <c r="E30" s="242">
        <f>збут!I9</f>
        <v>282.56</v>
      </c>
      <c r="F30" s="113">
        <f t="shared" ref="F30:F35" si="5">ROUND(E30/$E$47,2)</f>
        <v>2.83</v>
      </c>
    </row>
    <row r="31" spans="1:7" x14ac:dyDescent="0.25">
      <c r="A31" s="111" t="s">
        <v>328</v>
      </c>
      <c r="B31" s="112" t="s">
        <v>309</v>
      </c>
      <c r="C31" s="242">
        <v>59.2</v>
      </c>
      <c r="D31" s="113">
        <f t="shared" si="4"/>
        <v>0.48670000000000002</v>
      </c>
      <c r="E31" s="242">
        <f>збут!I10</f>
        <v>62.16</v>
      </c>
      <c r="F31" s="113">
        <f t="shared" si="5"/>
        <v>0.62</v>
      </c>
    </row>
    <row r="32" spans="1:7" x14ac:dyDescent="0.25">
      <c r="A32" s="111" t="s">
        <v>329</v>
      </c>
      <c r="B32" s="112" t="s">
        <v>310</v>
      </c>
      <c r="C32" s="242">
        <v>0</v>
      </c>
      <c r="D32" s="113">
        <f t="shared" si="4"/>
        <v>0</v>
      </c>
      <c r="E32" s="242">
        <v>0</v>
      </c>
      <c r="F32" s="113">
        <f t="shared" si="5"/>
        <v>0</v>
      </c>
    </row>
    <row r="33" spans="1:8" x14ac:dyDescent="0.25">
      <c r="A33" s="111" t="s">
        <v>330</v>
      </c>
      <c r="B33" s="112" t="s">
        <v>318</v>
      </c>
      <c r="C33" s="242">
        <v>16</v>
      </c>
      <c r="D33" s="113">
        <f t="shared" si="4"/>
        <v>0.13150000000000001</v>
      </c>
      <c r="E33" s="242">
        <f>'розрахунок тарифу'!H23-E30-E31-E32</f>
        <v>220.10000000000005</v>
      </c>
      <c r="F33" s="113">
        <f t="shared" si="5"/>
        <v>2.2000000000000002</v>
      </c>
    </row>
    <row r="34" spans="1:8" x14ac:dyDescent="0.25">
      <c r="A34" s="110" t="s">
        <v>331</v>
      </c>
      <c r="B34" s="108" t="s">
        <v>87</v>
      </c>
      <c r="C34" s="241">
        <v>0</v>
      </c>
      <c r="D34" s="113">
        <f t="shared" si="4"/>
        <v>0</v>
      </c>
      <c r="E34" s="241">
        <v>0</v>
      </c>
      <c r="F34" s="113">
        <f t="shared" si="5"/>
        <v>0</v>
      </c>
    </row>
    <row r="35" spans="1:8" x14ac:dyDescent="0.25">
      <c r="A35" s="110" t="s">
        <v>332</v>
      </c>
      <c r="B35" s="108" t="s">
        <v>88</v>
      </c>
      <c r="C35" s="241">
        <v>0</v>
      </c>
      <c r="D35" s="113">
        <f t="shared" si="4"/>
        <v>0</v>
      </c>
      <c r="E35" s="241">
        <v>0</v>
      </c>
      <c r="F35" s="113">
        <f t="shared" si="5"/>
        <v>0</v>
      </c>
    </row>
    <row r="36" spans="1:8" x14ac:dyDescent="0.25">
      <c r="A36" s="110" t="s">
        <v>333</v>
      </c>
      <c r="B36" s="108" t="s">
        <v>334</v>
      </c>
      <c r="C36" s="241">
        <f>C7+C24+C29+C34+C35-0.04</f>
        <v>2006.5000000000002</v>
      </c>
      <c r="D36" s="109">
        <f>D7+D24+D29+D34+D35</f>
        <v>16.495699999999999</v>
      </c>
      <c r="E36" s="109">
        <f>E7+E24+E29+E34+E35-0.04</f>
        <v>2400.348</v>
      </c>
      <c r="F36" s="109">
        <f>F7+F24+F29+F34+F35</f>
        <v>24</v>
      </c>
    </row>
    <row r="37" spans="1:8" x14ac:dyDescent="0.25">
      <c r="A37" s="110" t="s">
        <v>335</v>
      </c>
      <c r="B37" s="108" t="s">
        <v>336</v>
      </c>
      <c r="C37" s="241">
        <f>C38+C39+C40+C41+C42</f>
        <v>0</v>
      </c>
      <c r="D37" s="109">
        <f t="shared" ref="D37:F37" si="6">D38+D39+D40+D41+D42</f>
        <v>0</v>
      </c>
      <c r="E37" s="241">
        <f t="shared" si="6"/>
        <v>0</v>
      </c>
      <c r="F37" s="109">
        <f t="shared" si="6"/>
        <v>0</v>
      </c>
    </row>
    <row r="38" spans="1:8" x14ac:dyDescent="0.25">
      <c r="A38" s="111" t="s">
        <v>110</v>
      </c>
      <c r="B38" s="112" t="s">
        <v>91</v>
      </c>
      <c r="C38" s="242">
        <v>0</v>
      </c>
      <c r="D38" s="113">
        <f>ROUND(C38/$C$47,4)</f>
        <v>0</v>
      </c>
      <c r="E38" s="242">
        <v>0</v>
      </c>
      <c r="F38" s="113">
        <f>ROUND(E38/$E$47,2)</f>
        <v>0</v>
      </c>
    </row>
    <row r="39" spans="1:8" x14ac:dyDescent="0.25">
      <c r="A39" s="111" t="s">
        <v>111</v>
      </c>
      <c r="B39" s="112" t="s">
        <v>93</v>
      </c>
      <c r="C39" s="242">
        <v>0</v>
      </c>
      <c r="D39" s="113">
        <f>ROUND(C39/$C$47,4)</f>
        <v>0</v>
      </c>
      <c r="E39" s="242">
        <v>0</v>
      </c>
      <c r="F39" s="113">
        <f>ROUND(E39/$E$47,2)</f>
        <v>0</v>
      </c>
    </row>
    <row r="40" spans="1:8" x14ac:dyDescent="0.25">
      <c r="A40" s="111" t="s">
        <v>337</v>
      </c>
      <c r="B40" s="112" t="s">
        <v>94</v>
      </c>
      <c r="C40" s="242">
        <v>0</v>
      </c>
      <c r="D40" s="113">
        <f>ROUND(C40/$C$47,4)</f>
        <v>0</v>
      </c>
      <c r="E40" s="242">
        <v>0</v>
      </c>
      <c r="F40" s="113">
        <f>ROUND(E40/$E$47,2)</f>
        <v>0</v>
      </c>
    </row>
    <row r="41" spans="1:8" x14ac:dyDescent="0.25">
      <c r="A41" s="111" t="s">
        <v>338</v>
      </c>
      <c r="B41" s="114" t="s">
        <v>95</v>
      </c>
      <c r="C41" s="242">
        <v>0</v>
      </c>
      <c r="D41" s="113">
        <f>ROUND(C41/$C$47,4)</f>
        <v>0</v>
      </c>
      <c r="E41" s="242">
        <v>0</v>
      </c>
      <c r="F41" s="113">
        <f>ROUND(E41/$E$47,2)</f>
        <v>0</v>
      </c>
    </row>
    <row r="42" spans="1:8" x14ac:dyDescent="0.25">
      <c r="A42" s="111" t="s">
        <v>339</v>
      </c>
      <c r="B42" s="112" t="s">
        <v>96</v>
      </c>
      <c r="C42" s="242">
        <v>0</v>
      </c>
      <c r="D42" s="113">
        <f>ROUND(C42/$C$47,4)</f>
        <v>0</v>
      </c>
      <c r="E42" s="242">
        <v>0</v>
      </c>
      <c r="F42" s="113">
        <f>ROUND(E42/$E$47,2)</f>
        <v>0</v>
      </c>
    </row>
    <row r="43" spans="1:8" ht="31.5" x14ac:dyDescent="0.25">
      <c r="A43" s="110" t="s">
        <v>340</v>
      </c>
      <c r="B43" s="120" t="s">
        <v>341</v>
      </c>
      <c r="C43" s="442">
        <f>C36+C37</f>
        <v>2006.5000000000002</v>
      </c>
      <c r="D43" s="443"/>
      <c r="E43" s="442">
        <f>E36+E37</f>
        <v>2400.348</v>
      </c>
      <c r="F43" s="443"/>
    </row>
    <row r="45" spans="1:8" ht="49.5" x14ac:dyDescent="0.25">
      <c r="A45" s="121">
        <v>9</v>
      </c>
      <c r="B45" s="122" t="s">
        <v>431</v>
      </c>
      <c r="C45" s="442">
        <f>C43/C47</f>
        <v>16.495396251233146</v>
      </c>
      <c r="D45" s="443"/>
      <c r="E45" s="442">
        <f>E43/E47</f>
        <v>24.00348</v>
      </c>
      <c r="F45" s="443"/>
      <c r="H45" s="382">
        <f>E45*1.2</f>
        <v>28.804175999999998</v>
      </c>
    </row>
    <row r="46" spans="1:8" x14ac:dyDescent="0.25">
      <c r="A46" s="123"/>
      <c r="B46" s="124"/>
      <c r="C46" s="125"/>
      <c r="D46" s="125"/>
      <c r="E46" s="125"/>
      <c r="F46" s="125"/>
    </row>
    <row r="47" spans="1:8" ht="18" x14ac:dyDescent="0.25">
      <c r="A47" s="110" t="s">
        <v>343</v>
      </c>
      <c r="B47" s="120" t="s">
        <v>432</v>
      </c>
      <c r="C47" s="440">
        <f>'річний план'!E28</f>
        <v>121.64000000000001</v>
      </c>
      <c r="D47" s="441"/>
      <c r="E47" s="440">
        <f>'річний план'!F28</f>
        <v>100</v>
      </c>
      <c r="F47" s="441"/>
    </row>
    <row r="48" spans="1:8" x14ac:dyDescent="0.25">
      <c r="A48" s="123"/>
      <c r="B48" s="124"/>
      <c r="C48" s="420" t="s">
        <v>626</v>
      </c>
      <c r="D48" s="125"/>
      <c r="E48" s="125"/>
      <c r="F48" s="125"/>
    </row>
    <row r="50" spans="1:12" s="25" customFormat="1" ht="14.25" customHeight="1" x14ac:dyDescent="0.25">
      <c r="A50" s="34"/>
      <c r="B50" s="438" t="s">
        <v>15</v>
      </c>
      <c r="C50" s="68"/>
      <c r="D50" s="437" t="s">
        <v>57</v>
      </c>
      <c r="E50" s="437"/>
      <c r="F50" s="437"/>
      <c r="G50" s="35"/>
    </row>
    <row r="51" spans="1:12" s="25" customFormat="1" ht="14.25" customHeight="1" x14ac:dyDescent="0.25">
      <c r="A51" s="34"/>
      <c r="B51" s="438"/>
      <c r="C51" s="334" t="s">
        <v>17</v>
      </c>
      <c r="D51" s="431" t="s">
        <v>18</v>
      </c>
      <c r="E51" s="431"/>
      <c r="F51" s="431"/>
      <c r="G51" s="35"/>
    </row>
    <row r="52" spans="1:12" s="25" customFormat="1" ht="14.25" customHeight="1" x14ac:dyDescent="0.25">
      <c r="A52" s="335"/>
      <c r="B52" s="26"/>
      <c r="C52" s="333" t="s">
        <v>19</v>
      </c>
      <c r="G52" s="35"/>
    </row>
    <row r="53" spans="1:12" s="25" customFormat="1" x14ac:dyDescent="0.25">
      <c r="A53" s="34"/>
      <c r="B53" s="426" t="s">
        <v>647</v>
      </c>
      <c r="C53" s="426"/>
      <c r="G53" s="35"/>
    </row>
    <row r="56" spans="1:12" ht="33" customHeight="1" x14ac:dyDescent="0.25">
      <c r="A56" s="445" t="s">
        <v>292</v>
      </c>
      <c r="B56" s="446" t="s">
        <v>304</v>
      </c>
      <c r="C56" s="445" t="s">
        <v>74</v>
      </c>
      <c r="D56" s="446"/>
      <c r="E56" s="445" t="s">
        <v>644</v>
      </c>
      <c r="F56" s="446"/>
      <c r="G56" s="447" t="s">
        <v>564</v>
      </c>
      <c r="H56" s="448"/>
      <c r="I56" s="448" t="s">
        <v>567</v>
      </c>
      <c r="J56" s="448"/>
    </row>
    <row r="57" spans="1:12" ht="18" x14ac:dyDescent="0.25">
      <c r="A57" s="445"/>
      <c r="B57" s="446"/>
      <c r="C57" s="144" t="s">
        <v>305</v>
      </c>
      <c r="D57" s="144" t="s">
        <v>430</v>
      </c>
      <c r="E57" s="144" t="s">
        <v>305</v>
      </c>
      <c r="F57" s="144" t="s">
        <v>430</v>
      </c>
      <c r="G57" s="101" t="s">
        <v>565</v>
      </c>
      <c r="H57" s="101" t="s">
        <v>566</v>
      </c>
      <c r="I57" s="101">
        <v>2021</v>
      </c>
      <c r="J57" s="101">
        <v>2022</v>
      </c>
    </row>
    <row r="58" spans="1:12" x14ac:dyDescent="0.25">
      <c r="A58" s="315"/>
      <c r="B58" s="315" t="s">
        <v>562</v>
      </c>
      <c r="C58" s="388">
        <f>C13+C20+C25+C30</f>
        <v>753.74</v>
      </c>
      <c r="D58" s="389">
        <f t="shared" ref="D58" si="7">D13+D20+D25+D30</f>
        <v>6.1965000000000003</v>
      </c>
      <c r="E58" s="388">
        <f>E13+E20+E25+E30</f>
        <v>878.02</v>
      </c>
      <c r="F58" s="389">
        <f>F13+F20+F25+F30</f>
        <v>8.7899999999999991</v>
      </c>
      <c r="G58" s="318">
        <f>E58/C58-1</f>
        <v>0.16488444291134874</v>
      </c>
      <c r="H58" s="318">
        <f>F58/D58-1</f>
        <v>0.41854272573226803</v>
      </c>
      <c r="I58" s="318">
        <f>D58/D$64</f>
        <v>0.38324519899805176</v>
      </c>
      <c r="J58" s="318">
        <f>E58/E$64</f>
        <v>0.36578253182402176</v>
      </c>
      <c r="K58" s="318"/>
      <c r="L58" s="318"/>
    </row>
    <row r="59" spans="1:12" x14ac:dyDescent="0.25">
      <c r="A59" s="315"/>
      <c r="B59" s="315" t="s">
        <v>561</v>
      </c>
      <c r="C59" s="388">
        <f>C15+C21+C26+C31</f>
        <v>165.8</v>
      </c>
      <c r="D59" s="389">
        <f t="shared" ref="D59" si="8">D15+D21+D26+D31</f>
        <v>1.3631</v>
      </c>
      <c r="E59" s="389">
        <f>E15+E21+E26+E31</f>
        <v>193.13</v>
      </c>
      <c r="F59" s="389">
        <f>F15+F21+F26+F31</f>
        <v>1.9300000000000002</v>
      </c>
      <c r="G59" s="318">
        <f t="shared" ref="G59:H63" si="9">E59/C59-1</f>
        <v>0.1648371531966224</v>
      </c>
      <c r="H59" s="318">
        <f t="shared" si="9"/>
        <v>0.41589025016506498</v>
      </c>
      <c r="I59" s="318">
        <f t="shared" ref="I59:J63" si="10">D59/D$64</f>
        <v>8.4305903454247447E-2</v>
      </c>
      <c r="J59" s="318">
        <f t="shared" si="10"/>
        <v>8.0457825984799128E-2</v>
      </c>
      <c r="K59" s="318"/>
      <c r="L59" s="318"/>
    </row>
    <row r="60" spans="1:12" x14ac:dyDescent="0.25">
      <c r="A60" s="315"/>
      <c r="B60" s="315" t="s">
        <v>39</v>
      </c>
      <c r="C60" s="388">
        <f>C10</f>
        <v>788</v>
      </c>
      <c r="D60" s="389">
        <f t="shared" ref="D60" si="11">D10</f>
        <v>6.4781000000000004</v>
      </c>
      <c r="E60" s="388">
        <f>E10</f>
        <v>829.43</v>
      </c>
      <c r="F60" s="389">
        <f>F10</f>
        <v>8.2899999999999991</v>
      </c>
      <c r="G60" s="318">
        <f t="shared" si="9"/>
        <v>5.2576142131979697E-2</v>
      </c>
      <c r="H60" s="318">
        <f t="shared" si="9"/>
        <v>0.27969620722125299</v>
      </c>
      <c r="I60" s="318">
        <f t="shared" si="10"/>
        <v>0.40066178062281593</v>
      </c>
      <c r="J60" s="318">
        <f t="shared" si="10"/>
        <v>0.34553997103801554</v>
      </c>
      <c r="K60" s="318"/>
      <c r="L60" s="318"/>
    </row>
    <row r="61" spans="1:12" x14ac:dyDescent="0.25">
      <c r="A61" s="315"/>
      <c r="B61" s="315" t="s">
        <v>77</v>
      </c>
      <c r="C61" s="388">
        <f>C9</f>
        <v>45.4</v>
      </c>
      <c r="D61" s="389">
        <f t="shared" ref="D61" si="12">D9</f>
        <v>0.37319999999999998</v>
      </c>
      <c r="E61" s="388">
        <f>E9</f>
        <v>41.2</v>
      </c>
      <c r="F61" s="389">
        <f>F9</f>
        <v>0.41</v>
      </c>
      <c r="G61" s="318">
        <f t="shared" si="9"/>
        <v>-9.2511013215858973E-2</v>
      </c>
      <c r="H61" s="318">
        <f t="shared" si="9"/>
        <v>9.8606645230439494E-2</v>
      </c>
      <c r="I61" s="318">
        <f t="shared" si="10"/>
        <v>2.3081918545319598E-2</v>
      </c>
      <c r="J61" s="318">
        <f t="shared" si="10"/>
        <v>1.7163891837486275E-2</v>
      </c>
      <c r="K61" s="318"/>
      <c r="L61" s="318"/>
    </row>
    <row r="62" spans="1:12" x14ac:dyDescent="0.25">
      <c r="A62" s="315"/>
      <c r="B62" s="315" t="s">
        <v>563</v>
      </c>
      <c r="C62" s="388">
        <f>C12</f>
        <v>80</v>
      </c>
      <c r="D62" s="389">
        <f t="shared" ref="D62" si="13">D12</f>
        <v>0.65769999999999995</v>
      </c>
      <c r="E62" s="388">
        <f>E12</f>
        <v>100</v>
      </c>
      <c r="F62" s="389">
        <f>F12</f>
        <v>1</v>
      </c>
      <c r="G62" s="318">
        <f t="shared" si="9"/>
        <v>0.25</v>
      </c>
      <c r="H62" s="318">
        <f t="shared" si="9"/>
        <v>0.52045005321575188</v>
      </c>
      <c r="I62" s="318">
        <f t="shared" si="10"/>
        <v>4.0677861273463824E-2</v>
      </c>
      <c r="J62" s="318">
        <f t="shared" si="10"/>
        <v>4.1659931644384161E-2</v>
      </c>
      <c r="K62" s="318"/>
      <c r="L62" s="318"/>
    </row>
    <row r="63" spans="1:12" x14ac:dyDescent="0.25">
      <c r="A63" s="315"/>
      <c r="B63" s="315" t="s">
        <v>318</v>
      </c>
      <c r="C63" s="388">
        <f>C23+C28+C33</f>
        <v>133.80000000000001</v>
      </c>
      <c r="D63" s="389">
        <f t="shared" ref="D63" si="14">D23+D28+D33</f>
        <v>1.0998999999999999</v>
      </c>
      <c r="E63" s="388">
        <f>E23+E28+E33+E18+E11</f>
        <v>358.60800000000006</v>
      </c>
      <c r="F63" s="389">
        <f>F23+F28+F33+F18+F11</f>
        <v>3.58</v>
      </c>
      <c r="G63" s="318">
        <f t="shared" si="9"/>
        <v>1.6801793721973097</v>
      </c>
      <c r="H63" s="318">
        <f t="shared" si="9"/>
        <v>2.2548413492135655</v>
      </c>
      <c r="I63" s="318">
        <f t="shared" si="10"/>
        <v>6.8027337106101357E-2</v>
      </c>
      <c r="J63" s="318">
        <f t="shared" si="10"/>
        <v>0.14939584767129316</v>
      </c>
      <c r="K63" s="318"/>
      <c r="L63" s="318"/>
    </row>
    <row r="64" spans="1:12" x14ac:dyDescent="0.25">
      <c r="A64" s="315"/>
      <c r="B64" s="315"/>
      <c r="C64" s="316">
        <f>SUM(C58:C63)</f>
        <v>1966.74</v>
      </c>
      <c r="D64" s="317">
        <f t="shared" ref="D64:F64" si="15">SUM(D58:D63)</f>
        <v>16.168500000000002</v>
      </c>
      <c r="E64" s="316">
        <f t="shared" si="15"/>
        <v>2400.3879999999999</v>
      </c>
      <c r="F64" s="317">
        <f t="shared" si="15"/>
        <v>24</v>
      </c>
      <c r="G64" s="318">
        <f>E64/C64-1</f>
        <v>0.22049076136144063</v>
      </c>
      <c r="H64" s="318">
        <f>F64/D64-1</f>
        <v>0.48436775211058514</v>
      </c>
      <c r="I64" s="318">
        <f>D64/D$64</f>
        <v>1</v>
      </c>
      <c r="J64" s="318">
        <f>E64/E$64</f>
        <v>1</v>
      </c>
      <c r="K64" s="318"/>
      <c r="L64" s="318"/>
    </row>
  </sheetData>
  <mergeCells count="22">
    <mergeCell ref="G56:H56"/>
    <mergeCell ref="I56:J56"/>
    <mergeCell ref="B50:B51"/>
    <mergeCell ref="D50:F50"/>
    <mergeCell ref="D51:F51"/>
    <mergeCell ref="B53:C53"/>
    <mergeCell ref="A56:A57"/>
    <mergeCell ref="B56:B57"/>
    <mergeCell ref="C56:D56"/>
    <mergeCell ref="E56:F56"/>
    <mergeCell ref="C43:D43"/>
    <mergeCell ref="E43:F43"/>
    <mergeCell ref="C45:D45"/>
    <mergeCell ref="E45:F45"/>
    <mergeCell ref="C47:D47"/>
    <mergeCell ref="E47:F47"/>
    <mergeCell ref="A1:F1"/>
    <mergeCell ref="A2:F2"/>
    <mergeCell ref="A4:A5"/>
    <mergeCell ref="B4:B5"/>
    <mergeCell ref="C4:D4"/>
    <mergeCell ref="E4:F4"/>
  </mergeCells>
  <conditionalFormatting sqref="C17">
    <cfRule type="containsText" dxfId="1" priority="1" stopIfTrue="1" operator="containsText" text="Додаток2">
      <formula>NOT(ISERROR(SEARCH("Додаток2",C17)))</formula>
    </cfRule>
    <cfRule type="containsText" dxfId="0" priority="2" stopIfTrue="1" operator="containsText" text="Додаток2">
      <formula>NOT(ISERROR(SEARCH("Додаток2",C17)))</formula>
    </cfRule>
  </conditionalFormatting>
  <pageMargins left="0.78740157480314965" right="0.39370078740157483" top="0.39370078740157483" bottom="0.39370078740157483" header="0" footer="0"/>
  <pageSetup paperSize="9" scale="6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zoomScale="82" zoomScaleNormal="82" workbookViewId="0">
      <pane ySplit="9" topLeftCell="A31" activePane="bottomLeft" state="frozenSplit"/>
      <selection activeCell="H27" sqref="H27"/>
      <selection pane="bottomLeft" activeCell="B26" sqref="B26"/>
    </sheetView>
  </sheetViews>
  <sheetFormatPr defaultRowHeight="15.75" x14ac:dyDescent="0.25"/>
  <cols>
    <col min="1" max="1" width="6.85546875" style="128" customWidth="1"/>
    <col min="2" max="2" width="39.7109375" style="127" customWidth="1"/>
    <col min="3" max="3" width="5.140625" style="127" customWidth="1"/>
    <col min="4" max="4" width="10.7109375" style="127" customWidth="1"/>
    <col min="5" max="5" width="10.5703125" style="127" customWidth="1"/>
    <col min="6" max="6" width="10.28515625" style="127" bestFit="1" customWidth="1"/>
    <col min="7" max="7" width="10.140625" style="127" customWidth="1"/>
    <col min="8" max="8" width="9.5703125" style="126" bestFit="1" customWidth="1"/>
    <col min="9" max="9" width="9.42578125" style="126" bestFit="1" customWidth="1"/>
    <col min="10" max="11" width="9.140625" style="127"/>
    <col min="12" max="12" width="9.5703125" style="127" bestFit="1" customWidth="1"/>
    <col min="13" max="13" width="11" style="127" customWidth="1"/>
    <col min="14" max="16384" width="9.140625" style="127"/>
  </cols>
  <sheetData>
    <row r="1" spans="1:12" ht="18.75" x14ac:dyDescent="0.25">
      <c r="A1" s="449" t="s">
        <v>71</v>
      </c>
      <c r="B1" s="449"/>
      <c r="C1" s="449"/>
      <c r="D1" s="449"/>
      <c r="E1" s="449"/>
      <c r="F1" s="449"/>
      <c r="G1" s="449"/>
      <c r="H1" s="449"/>
      <c r="I1" s="449"/>
    </row>
    <row r="2" spans="1:12" ht="18.75" x14ac:dyDescent="0.25">
      <c r="A2" s="432" t="s">
        <v>72</v>
      </c>
      <c r="B2" s="432"/>
      <c r="C2" s="432"/>
      <c r="D2" s="432"/>
      <c r="E2" s="432"/>
      <c r="F2" s="432"/>
      <c r="G2" s="432"/>
      <c r="H2" s="432"/>
      <c r="I2" s="432"/>
    </row>
    <row r="3" spans="1:12" ht="45" customHeight="1" x14ac:dyDescent="0.25">
      <c r="A3" s="450" t="s">
        <v>429</v>
      </c>
      <c r="B3" s="450"/>
      <c r="C3" s="450"/>
      <c r="D3" s="450"/>
      <c r="E3" s="450"/>
      <c r="F3" s="450"/>
      <c r="G3" s="450"/>
      <c r="H3" s="450"/>
      <c r="I3" s="450"/>
    </row>
    <row r="4" spans="1:12" x14ac:dyDescent="0.25">
      <c r="A4" s="100"/>
    </row>
    <row r="5" spans="1:12" ht="15" customHeight="1" x14ac:dyDescent="0.25">
      <c r="H5" s="437" t="s">
        <v>446</v>
      </c>
      <c r="I5" s="437"/>
    </row>
    <row r="6" spans="1:12" ht="15" customHeight="1" x14ac:dyDescent="0.25">
      <c r="A6" s="451" t="s">
        <v>0</v>
      </c>
      <c r="B6" s="452" t="s">
        <v>73</v>
      </c>
      <c r="C6" s="452" t="s">
        <v>32</v>
      </c>
      <c r="D6" s="453" t="s">
        <v>655</v>
      </c>
      <c r="E6" s="454"/>
      <c r="F6" s="452" t="s">
        <v>74</v>
      </c>
      <c r="G6" s="452"/>
      <c r="H6" s="452" t="s">
        <v>656</v>
      </c>
      <c r="I6" s="452"/>
    </row>
    <row r="7" spans="1:12" x14ac:dyDescent="0.25">
      <c r="A7" s="451"/>
      <c r="B7" s="452"/>
      <c r="C7" s="452"/>
      <c r="D7" s="455"/>
      <c r="E7" s="456"/>
      <c r="F7" s="452"/>
      <c r="G7" s="452"/>
      <c r="H7" s="452"/>
      <c r="I7" s="452"/>
    </row>
    <row r="8" spans="1:12" ht="31.5" x14ac:dyDescent="0.25">
      <c r="A8" s="451"/>
      <c r="B8" s="452"/>
      <c r="C8" s="452"/>
      <c r="D8" s="407" t="s">
        <v>101</v>
      </c>
      <c r="E8" s="407" t="s">
        <v>102</v>
      </c>
      <c r="F8" s="407" t="s">
        <v>101</v>
      </c>
      <c r="G8" s="407" t="s">
        <v>102</v>
      </c>
      <c r="H8" s="204" t="s">
        <v>101</v>
      </c>
      <c r="I8" s="204" t="s">
        <v>102</v>
      </c>
    </row>
    <row r="9" spans="1:12" x14ac:dyDescent="0.25">
      <c r="A9" s="131" t="s">
        <v>33</v>
      </c>
      <c r="B9" s="129" t="s">
        <v>34</v>
      </c>
      <c r="C9" s="129" t="s">
        <v>35</v>
      </c>
      <c r="D9" s="129">
        <v>1</v>
      </c>
      <c r="E9" s="129">
        <v>2</v>
      </c>
      <c r="F9" s="129">
        <v>3</v>
      </c>
      <c r="G9" s="129">
        <v>4</v>
      </c>
      <c r="H9" s="143">
        <v>5</v>
      </c>
      <c r="I9" s="132">
        <v>6</v>
      </c>
    </row>
    <row r="10" spans="1:12" s="136" customFormat="1" ht="31.5" x14ac:dyDescent="0.25">
      <c r="A10" s="133">
        <v>1</v>
      </c>
      <c r="B10" s="134" t="s">
        <v>75</v>
      </c>
      <c r="C10" s="131" t="s">
        <v>116</v>
      </c>
      <c r="D10" s="142">
        <f>D11+D16+D17+D21</f>
        <v>985.29300000000001</v>
      </c>
      <c r="E10" s="135">
        <f t="shared" ref="E10:I10" si="0">E11+E16+E17+E21</f>
        <v>11.776644953086715</v>
      </c>
      <c r="F10" s="142">
        <f t="shared" si="0"/>
        <v>1333.2000000000003</v>
      </c>
      <c r="G10" s="135">
        <f t="shared" si="0"/>
        <v>10.960210457086484</v>
      </c>
      <c r="H10" s="135">
        <f>H11+H16+H17+H21</f>
        <v>1411.1479999999999</v>
      </c>
      <c r="I10" s="135">
        <f t="shared" si="0"/>
        <v>14.11</v>
      </c>
      <c r="K10" s="232"/>
      <c r="L10" s="232"/>
    </row>
    <row r="11" spans="1:12" ht="31.5" x14ac:dyDescent="0.25">
      <c r="A11" s="137" t="s">
        <v>59</v>
      </c>
      <c r="B11" s="138" t="s">
        <v>76</v>
      </c>
      <c r="C11" s="131" t="s">
        <v>117</v>
      </c>
      <c r="D11" s="143">
        <f>SUM(D12:D15)</f>
        <v>563.21699999999998</v>
      </c>
      <c r="E11" s="130">
        <f t="shared" ref="E11:G11" si="1">SUM(E12:E15)</f>
        <v>6.7318113906651531</v>
      </c>
      <c r="F11" s="143">
        <f t="shared" si="1"/>
        <v>948.4</v>
      </c>
      <c r="G11" s="130">
        <f t="shared" si="1"/>
        <v>7.7967773758632024</v>
      </c>
      <c r="H11" s="130">
        <f>SUM(H12:H15)</f>
        <v>1005.63</v>
      </c>
      <c r="I11" s="130">
        <f>ROUND(SUM(I12:I15),2)</f>
        <v>10.050000000000001</v>
      </c>
      <c r="K11" s="232"/>
      <c r="L11" s="232"/>
    </row>
    <row r="12" spans="1:12" x14ac:dyDescent="0.25">
      <c r="A12" s="137" t="s">
        <v>103</v>
      </c>
      <c r="B12" s="138" t="s">
        <v>39</v>
      </c>
      <c r="C12" s="131" t="s">
        <v>118</v>
      </c>
      <c r="D12" s="143">
        <f>'покупна вода'!F9</f>
        <v>513.40899999999999</v>
      </c>
      <c r="E12" s="130">
        <f>D12/D$35</f>
        <v>6.1364847905336761</v>
      </c>
      <c r="F12" s="143">
        <v>788</v>
      </c>
      <c r="G12" s="130">
        <f>F12/$F$35</f>
        <v>6.4781321933574478</v>
      </c>
      <c r="H12" s="130">
        <f>'покупна вода'!I9</f>
        <v>829.43</v>
      </c>
      <c r="I12" s="130">
        <f>ROUND(H12/H$35,2)</f>
        <v>8.2899999999999991</v>
      </c>
      <c r="K12" s="232"/>
      <c r="L12" s="232"/>
    </row>
    <row r="13" spans="1:12" x14ac:dyDescent="0.25">
      <c r="A13" s="137" t="s">
        <v>104</v>
      </c>
      <c r="B13" s="112" t="s">
        <v>307</v>
      </c>
      <c r="C13" s="131" t="s">
        <v>119</v>
      </c>
      <c r="D13" s="143">
        <f>13.539+0.197</f>
        <v>13.735999999999999</v>
      </c>
      <c r="E13" s="130">
        <f t="shared" ref="E13:E15" si="2">D13/D$35</f>
        <v>0.16417856929420904</v>
      </c>
      <c r="F13" s="143">
        <v>35</v>
      </c>
      <c r="G13" s="130">
        <f>F13/$F$35</f>
        <v>0.28773429792831301</v>
      </c>
      <c r="H13" s="130">
        <v>35</v>
      </c>
      <c r="I13" s="130">
        <f t="shared" ref="I13" si="3">H13/H$35</f>
        <v>0.35</v>
      </c>
      <c r="K13" s="232"/>
      <c r="L13" s="232"/>
    </row>
    <row r="14" spans="1:12" x14ac:dyDescent="0.25">
      <c r="A14" s="137" t="s">
        <v>105</v>
      </c>
      <c r="B14" s="138" t="s">
        <v>77</v>
      </c>
      <c r="C14" s="131" t="s">
        <v>120</v>
      </c>
      <c r="D14" s="143">
        <v>13.955</v>
      </c>
      <c r="E14" s="130">
        <f t="shared" si="2"/>
        <v>0.16679615131775535</v>
      </c>
      <c r="F14" s="143">
        <v>45.4</v>
      </c>
      <c r="G14" s="130">
        <f t="shared" ref="G14:G16" si="4">F14/$F$35</f>
        <v>0.37323248931272601</v>
      </c>
      <c r="H14" s="130">
        <f>эл.энергия!K10</f>
        <v>41.2</v>
      </c>
      <c r="I14" s="130">
        <f>ROUND(H14/H$35,2)</f>
        <v>0.41</v>
      </c>
      <c r="K14" s="232"/>
      <c r="L14" s="232"/>
    </row>
    <row r="15" spans="1:12" x14ac:dyDescent="0.25">
      <c r="A15" s="137" t="s">
        <v>106</v>
      </c>
      <c r="B15" s="138" t="s">
        <v>78</v>
      </c>
      <c r="C15" s="131" t="s">
        <v>121</v>
      </c>
      <c r="D15" s="143">
        <v>22.117000000000001</v>
      </c>
      <c r="E15" s="130">
        <f t="shared" si="2"/>
        <v>0.26435187951951239</v>
      </c>
      <c r="F15" s="143">
        <v>80</v>
      </c>
      <c r="G15" s="130">
        <f t="shared" si="4"/>
        <v>0.6576783952647155</v>
      </c>
      <c r="H15" s="130">
        <v>100</v>
      </c>
      <c r="I15" s="130">
        <f>ROUND(H15/H$35,2)</f>
        <v>1</v>
      </c>
      <c r="K15" s="232"/>
      <c r="L15" s="232"/>
    </row>
    <row r="16" spans="1:12" x14ac:dyDescent="0.25">
      <c r="A16" s="137" t="s">
        <v>60</v>
      </c>
      <c r="B16" s="138" t="s">
        <v>79</v>
      </c>
      <c r="C16" s="131" t="s">
        <v>122</v>
      </c>
      <c r="D16" s="143">
        <f>ФОТ!D8</f>
        <v>320.10599999999999</v>
      </c>
      <c r="E16" s="130">
        <f>D16/D$35</f>
        <v>3.8260443435128191</v>
      </c>
      <c r="F16" s="143">
        <v>232.5</v>
      </c>
      <c r="G16" s="130">
        <f t="shared" si="4"/>
        <v>1.9113778362380793</v>
      </c>
      <c r="H16" s="130">
        <f>ROUND(ФОТ!I8,1)</f>
        <v>285.60000000000002</v>
      </c>
      <c r="I16" s="130">
        <f>ROUND(H16/H$35,2)</f>
        <v>2.86</v>
      </c>
      <c r="K16" s="232"/>
      <c r="L16" s="232"/>
    </row>
    <row r="17" spans="1:12" x14ac:dyDescent="0.25">
      <c r="A17" s="137" t="s">
        <v>61</v>
      </c>
      <c r="B17" s="138" t="s">
        <v>80</v>
      </c>
      <c r="C17" s="131" t="s">
        <v>123</v>
      </c>
      <c r="D17" s="143">
        <f>SUM(D18:D20)</f>
        <v>75.2</v>
      </c>
      <c r="E17" s="130">
        <f t="shared" ref="E17:G17" si="5">SUM(E18:E20)</f>
        <v>0.89882268571087087</v>
      </c>
      <c r="F17" s="143">
        <f t="shared" si="5"/>
        <v>55.9</v>
      </c>
      <c r="G17" s="130">
        <f t="shared" si="5"/>
        <v>0.45955277869121997</v>
      </c>
      <c r="H17" s="130">
        <f>SUM(H18:H20)</f>
        <v>67.8</v>
      </c>
      <c r="I17" s="130">
        <f>ROUND(SUM(I18:I20),2)</f>
        <v>0.68</v>
      </c>
      <c r="K17" s="232"/>
      <c r="L17" s="232"/>
    </row>
    <row r="18" spans="1:12" ht="47.25" x14ac:dyDescent="0.25">
      <c r="A18" s="137" t="s">
        <v>107</v>
      </c>
      <c r="B18" s="138" t="s">
        <v>81</v>
      </c>
      <c r="C18" s="131" t="s">
        <v>124</v>
      </c>
      <c r="D18" s="130">
        <f>ROUND(D16*0.22,1)</f>
        <v>70.400000000000006</v>
      </c>
      <c r="E18" s="130">
        <f t="shared" ref="E18:E22" si="6">D18/D$35</f>
        <v>0.84145102492081525</v>
      </c>
      <c r="F18" s="130">
        <v>51.1</v>
      </c>
      <c r="G18" s="130">
        <f>F18/$F$35</f>
        <v>0.42009207497533702</v>
      </c>
      <c r="H18" s="130">
        <f>ROUND(H16*0.22,1)</f>
        <v>62.8</v>
      </c>
      <c r="I18" s="130">
        <f>ROUND(H18/H$35,2)</f>
        <v>0.63</v>
      </c>
      <c r="K18" s="232"/>
      <c r="L18" s="232"/>
    </row>
    <row r="19" spans="1:12" ht="63" x14ac:dyDescent="0.25">
      <c r="A19" s="137" t="s">
        <v>108</v>
      </c>
      <c r="B19" s="138" t="s">
        <v>82</v>
      </c>
      <c r="C19" s="131" t="s">
        <v>125</v>
      </c>
      <c r="D19" s="143">
        <v>0</v>
      </c>
      <c r="E19" s="130">
        <f t="shared" si="6"/>
        <v>0</v>
      </c>
      <c r="F19" s="143">
        <v>0</v>
      </c>
      <c r="G19" s="130">
        <f>F19/F$35</f>
        <v>0</v>
      </c>
      <c r="H19" s="130">
        <v>0</v>
      </c>
      <c r="I19" s="130">
        <f t="shared" ref="I19" si="7">H19/H$35</f>
        <v>0</v>
      </c>
      <c r="K19" s="232"/>
      <c r="L19" s="232"/>
    </row>
    <row r="20" spans="1:12" ht="31.5" x14ac:dyDescent="0.25">
      <c r="A20" s="137" t="s">
        <v>109</v>
      </c>
      <c r="B20" s="138" t="s">
        <v>610</v>
      </c>
      <c r="C20" s="131" t="s">
        <v>126</v>
      </c>
      <c r="D20" s="143">
        <v>4.8</v>
      </c>
      <c r="E20" s="130">
        <f t="shared" si="6"/>
        <v>5.7371660790055581E-2</v>
      </c>
      <c r="F20" s="143">
        <v>4.8</v>
      </c>
      <c r="G20" s="130">
        <f t="shared" ref="G20" si="8">F20/F$35</f>
        <v>3.9460703715882929E-2</v>
      </c>
      <c r="H20" s="130">
        <v>5</v>
      </c>
      <c r="I20" s="130">
        <f>ROUND(H20/H$35,2)</f>
        <v>0.05</v>
      </c>
      <c r="K20" s="232"/>
      <c r="L20" s="232"/>
    </row>
    <row r="21" spans="1:12" x14ac:dyDescent="0.25">
      <c r="A21" s="137" t="s">
        <v>62</v>
      </c>
      <c r="B21" s="138" t="s">
        <v>84</v>
      </c>
      <c r="C21" s="131" t="s">
        <v>127</v>
      </c>
      <c r="D21" s="143">
        <f>загальновироб!D8</f>
        <v>26.77</v>
      </c>
      <c r="E21" s="130">
        <f>D21/D$35</f>
        <v>0.31996653319787249</v>
      </c>
      <c r="F21" s="143">
        <v>96.4</v>
      </c>
      <c r="G21" s="130">
        <f t="shared" ref="G21:G23" si="9">F21/$F$35</f>
        <v>0.79250246629398224</v>
      </c>
      <c r="H21" s="143">
        <f>загальновироб!I8</f>
        <v>52.118000000000002</v>
      </c>
      <c r="I21" s="130">
        <f>ROUND(H21/H$35,2)</f>
        <v>0.52</v>
      </c>
      <c r="K21" s="232"/>
      <c r="L21" s="232"/>
    </row>
    <row r="22" spans="1:12" s="136" customFormat="1" x14ac:dyDescent="0.25">
      <c r="A22" s="133">
        <v>2</v>
      </c>
      <c r="B22" s="134" t="s">
        <v>85</v>
      </c>
      <c r="C22" s="131" t="s">
        <v>128</v>
      </c>
      <c r="D22" s="142">
        <f>админ!E8</f>
        <v>342.423</v>
      </c>
      <c r="E22" s="135">
        <f t="shared" si="6"/>
        <v>4.0927867088985836</v>
      </c>
      <c r="F22" s="142">
        <v>329.1</v>
      </c>
      <c r="G22" s="135">
        <f t="shared" si="9"/>
        <v>2.7055244985202234</v>
      </c>
      <c r="H22" s="142">
        <f>админ!I8</f>
        <v>424.38</v>
      </c>
      <c r="I22" s="135">
        <f>ROUND(H22/H$35,2)+0.01</f>
        <v>4.25</v>
      </c>
      <c r="K22" s="232"/>
      <c r="L22" s="232"/>
    </row>
    <row r="23" spans="1:12" s="136" customFormat="1" x14ac:dyDescent="0.25">
      <c r="A23" s="133">
        <v>3</v>
      </c>
      <c r="B23" s="134" t="s">
        <v>86</v>
      </c>
      <c r="C23" s="131" t="s">
        <v>129</v>
      </c>
      <c r="D23" s="142">
        <f>збут!E8</f>
        <v>491.32100000000003</v>
      </c>
      <c r="E23" s="135">
        <f>D23/D$35</f>
        <v>5.8724795314647711</v>
      </c>
      <c r="F23" s="142">
        <v>344.2</v>
      </c>
      <c r="G23" s="135">
        <f t="shared" si="9"/>
        <v>2.8296612956264382</v>
      </c>
      <c r="H23" s="142">
        <f>збут!I8</f>
        <v>564.82000000000005</v>
      </c>
      <c r="I23" s="135">
        <f>ROUND(H23/H$35,2)</f>
        <v>5.65</v>
      </c>
      <c r="K23" s="232"/>
      <c r="L23" s="232"/>
    </row>
    <row r="24" spans="1:12" s="136" customFormat="1" x14ac:dyDescent="0.25">
      <c r="A24" s="133">
        <v>4</v>
      </c>
      <c r="B24" s="134" t="s">
        <v>87</v>
      </c>
      <c r="C24" s="131" t="s">
        <v>130</v>
      </c>
      <c r="D24" s="142">
        <v>0</v>
      </c>
      <c r="E24" s="135">
        <f t="shared" ref="E24:E25" si="10">D24/D$35</f>
        <v>0</v>
      </c>
      <c r="F24" s="142">
        <v>0</v>
      </c>
      <c r="G24" s="135">
        <f t="shared" ref="G24:G25" si="11">F24/F$35</f>
        <v>0</v>
      </c>
      <c r="H24" s="135">
        <v>0</v>
      </c>
      <c r="I24" s="135">
        <f t="shared" ref="I24:I25" si="12">H24/H$35</f>
        <v>0</v>
      </c>
      <c r="K24" s="232"/>
      <c r="L24" s="232"/>
    </row>
    <row r="25" spans="1:12" s="136" customFormat="1" x14ac:dyDescent="0.25">
      <c r="A25" s="133">
        <v>5</v>
      </c>
      <c r="B25" s="134" t="s">
        <v>88</v>
      </c>
      <c r="C25" s="131" t="s">
        <v>131</v>
      </c>
      <c r="D25" s="142">
        <v>0</v>
      </c>
      <c r="E25" s="135">
        <f t="shared" si="10"/>
        <v>0</v>
      </c>
      <c r="F25" s="142">
        <v>0</v>
      </c>
      <c r="G25" s="135">
        <f t="shared" si="11"/>
        <v>0</v>
      </c>
      <c r="H25" s="135">
        <v>0</v>
      </c>
      <c r="I25" s="135">
        <f t="shared" si="12"/>
        <v>0</v>
      </c>
      <c r="K25" s="232"/>
      <c r="L25" s="232"/>
    </row>
    <row r="26" spans="1:12" s="136" customFormat="1" x14ac:dyDescent="0.25">
      <c r="A26" s="133">
        <v>6</v>
      </c>
      <c r="B26" s="134" t="s">
        <v>89</v>
      </c>
      <c r="C26" s="131" t="s">
        <v>132</v>
      </c>
      <c r="D26" s="135">
        <f>D10+D22+D23+D24+D25</f>
        <v>1819.0369999999998</v>
      </c>
      <c r="E26" s="135">
        <f t="shared" ref="E26:G26" si="13">E10+E22+E23+E24+E25</f>
        <v>21.741911193450072</v>
      </c>
      <c r="F26" s="135">
        <f t="shared" si="13"/>
        <v>2006.5000000000002</v>
      </c>
      <c r="G26" s="135">
        <f t="shared" si="13"/>
        <v>16.495396251233146</v>
      </c>
      <c r="H26" s="135">
        <f>H10+H22+H23+H24+H25</f>
        <v>2400.348</v>
      </c>
      <c r="I26" s="135">
        <f>I10+I22+I23+I24+I25-0.01</f>
        <v>23.999999999999996</v>
      </c>
      <c r="K26" s="232"/>
      <c r="L26" s="232"/>
    </row>
    <row r="27" spans="1:12" s="136" customFormat="1" x14ac:dyDescent="0.25">
      <c r="A27" s="133">
        <v>7</v>
      </c>
      <c r="B27" s="134" t="s">
        <v>90</v>
      </c>
      <c r="C27" s="131" t="s">
        <v>133</v>
      </c>
      <c r="D27" s="142">
        <f>D28+D29</f>
        <v>0</v>
      </c>
      <c r="E27" s="135">
        <f t="shared" ref="E27:I27" si="14">E28+E29</f>
        <v>0</v>
      </c>
      <c r="F27" s="142">
        <f t="shared" si="14"/>
        <v>0</v>
      </c>
      <c r="G27" s="135">
        <f t="shared" si="14"/>
        <v>0</v>
      </c>
      <c r="H27" s="135">
        <f t="shared" si="14"/>
        <v>0</v>
      </c>
      <c r="I27" s="135">
        <f t="shared" si="14"/>
        <v>0</v>
      </c>
      <c r="K27" s="232"/>
      <c r="L27" s="232"/>
    </row>
    <row r="28" spans="1:12" x14ac:dyDescent="0.25">
      <c r="A28" s="137" t="s">
        <v>110</v>
      </c>
      <c r="B28" s="138" t="s">
        <v>91</v>
      </c>
      <c r="C28" s="131" t="s">
        <v>134</v>
      </c>
      <c r="D28" s="143">
        <v>0</v>
      </c>
      <c r="E28" s="130">
        <f t="shared" ref="E28" si="15">D28/D$35</f>
        <v>0</v>
      </c>
      <c r="F28" s="143">
        <v>0</v>
      </c>
      <c r="G28" s="130">
        <f t="shared" ref="G28" si="16">F28/F$35</f>
        <v>0</v>
      </c>
      <c r="H28" s="130">
        <v>0</v>
      </c>
      <c r="I28" s="130">
        <f t="shared" ref="I28" si="17">H28/H$35</f>
        <v>0</v>
      </c>
      <c r="K28" s="232"/>
      <c r="L28" s="232"/>
    </row>
    <row r="29" spans="1:12" x14ac:dyDescent="0.25">
      <c r="A29" s="137" t="s">
        <v>111</v>
      </c>
      <c r="B29" s="138" t="s">
        <v>92</v>
      </c>
      <c r="C29" s="131" t="s">
        <v>135</v>
      </c>
      <c r="D29" s="143">
        <f>D31+D32+D33</f>
        <v>0</v>
      </c>
      <c r="E29" s="130">
        <f t="shared" ref="E29" si="18">E31+E32+E33</f>
        <v>0</v>
      </c>
      <c r="F29" s="143">
        <f t="shared" ref="F29:H29" si="19">F31+F32+F33</f>
        <v>0</v>
      </c>
      <c r="G29" s="130">
        <f t="shared" si="19"/>
        <v>0</v>
      </c>
      <c r="H29" s="130">
        <f t="shared" si="19"/>
        <v>0</v>
      </c>
      <c r="I29" s="130">
        <f>I31+I32+I33</f>
        <v>0</v>
      </c>
      <c r="K29" s="232"/>
      <c r="L29" s="232"/>
    </row>
    <row r="30" spans="1:12" x14ac:dyDescent="0.25">
      <c r="A30" s="137" t="s">
        <v>112</v>
      </c>
      <c r="B30" s="138" t="s">
        <v>93</v>
      </c>
      <c r="C30" s="131" t="s">
        <v>136</v>
      </c>
      <c r="D30" s="143">
        <v>0</v>
      </c>
      <c r="E30" s="130">
        <f t="shared" ref="E30:E33" si="20">D30/D$35</f>
        <v>0</v>
      </c>
      <c r="F30" s="143">
        <v>0</v>
      </c>
      <c r="G30" s="130">
        <f t="shared" ref="G30:G33" si="21">F30/F$35</f>
        <v>0</v>
      </c>
      <c r="H30" s="130">
        <v>0</v>
      </c>
      <c r="I30" s="130">
        <f t="shared" ref="I30:I33" si="22">H30/H$35</f>
        <v>0</v>
      </c>
      <c r="K30" s="232"/>
      <c r="L30" s="232"/>
    </row>
    <row r="31" spans="1:12" x14ac:dyDescent="0.25">
      <c r="A31" s="137" t="s">
        <v>113</v>
      </c>
      <c r="B31" s="138" t="s">
        <v>94</v>
      </c>
      <c r="C31" s="131" t="s">
        <v>137</v>
      </c>
      <c r="D31" s="143">
        <v>0</v>
      </c>
      <c r="E31" s="130">
        <f t="shared" si="20"/>
        <v>0</v>
      </c>
      <c r="F31" s="143">
        <v>0</v>
      </c>
      <c r="G31" s="130">
        <f t="shared" si="21"/>
        <v>0</v>
      </c>
      <c r="H31" s="130">
        <v>0</v>
      </c>
      <c r="I31" s="130">
        <f t="shared" si="22"/>
        <v>0</v>
      </c>
      <c r="K31" s="232"/>
      <c r="L31" s="232"/>
    </row>
    <row r="32" spans="1:12" ht="31.5" x14ac:dyDescent="0.25">
      <c r="A32" s="137" t="s">
        <v>114</v>
      </c>
      <c r="B32" s="138" t="s">
        <v>95</v>
      </c>
      <c r="C32" s="131" t="s">
        <v>138</v>
      </c>
      <c r="D32" s="143">
        <v>0</v>
      </c>
      <c r="E32" s="130">
        <f t="shared" si="20"/>
        <v>0</v>
      </c>
      <c r="F32" s="143">
        <v>0</v>
      </c>
      <c r="G32" s="130">
        <f t="shared" si="21"/>
        <v>0</v>
      </c>
      <c r="H32" s="130">
        <v>0</v>
      </c>
      <c r="I32" s="130">
        <f t="shared" si="22"/>
        <v>0</v>
      </c>
      <c r="K32" s="232"/>
      <c r="L32" s="232"/>
    </row>
    <row r="33" spans="1:18" x14ac:dyDescent="0.25">
      <c r="A33" s="137" t="s">
        <v>115</v>
      </c>
      <c r="B33" s="138" t="s">
        <v>96</v>
      </c>
      <c r="C33" s="131" t="s">
        <v>139</v>
      </c>
      <c r="D33" s="143">
        <v>0</v>
      </c>
      <c r="E33" s="130">
        <f t="shared" si="20"/>
        <v>0</v>
      </c>
      <c r="F33" s="143">
        <v>0</v>
      </c>
      <c r="G33" s="130">
        <f t="shared" si="21"/>
        <v>0</v>
      </c>
      <c r="H33" s="130">
        <v>0</v>
      </c>
      <c r="I33" s="130">
        <f t="shared" si="22"/>
        <v>0</v>
      </c>
      <c r="K33" s="232"/>
      <c r="L33" s="232"/>
    </row>
    <row r="34" spans="1:18" s="136" customFormat="1" ht="47.25" x14ac:dyDescent="0.25">
      <c r="A34" s="133">
        <v>8</v>
      </c>
      <c r="B34" s="134" t="s">
        <v>97</v>
      </c>
      <c r="C34" s="131" t="s">
        <v>140</v>
      </c>
      <c r="D34" s="142">
        <f>D26+D27</f>
        <v>1819.0369999999998</v>
      </c>
      <c r="E34" s="135">
        <f>E26+E27</f>
        <v>21.741911193450072</v>
      </c>
      <c r="F34" s="135">
        <f t="shared" ref="F34:H34" si="23">F26+F27</f>
        <v>2006.5000000000002</v>
      </c>
      <c r="G34" s="135">
        <f t="shared" si="23"/>
        <v>16.495396251233146</v>
      </c>
      <c r="H34" s="135">
        <f t="shared" si="23"/>
        <v>2400.348</v>
      </c>
      <c r="I34" s="135">
        <f>I26+I27</f>
        <v>23.999999999999996</v>
      </c>
      <c r="J34" s="285"/>
      <c r="K34" s="232"/>
      <c r="L34" s="284"/>
      <c r="M34" s="285"/>
      <c r="N34" s="244"/>
      <c r="P34" s="285"/>
      <c r="Q34" s="139"/>
      <c r="R34" s="139"/>
    </row>
    <row r="35" spans="1:18" s="136" customFormat="1" ht="47.25" x14ac:dyDescent="0.25">
      <c r="A35" s="133">
        <v>9</v>
      </c>
      <c r="B35" s="134" t="s">
        <v>98</v>
      </c>
      <c r="C35" s="131" t="s">
        <v>141</v>
      </c>
      <c r="D35" s="142">
        <f>SUM(D36:D40)</f>
        <v>83.664999999999992</v>
      </c>
      <c r="E35" s="135">
        <f>D34/D$35</f>
        <v>21.741911193450068</v>
      </c>
      <c r="F35" s="142">
        <f>SUM(F36:F40)</f>
        <v>121.64000000000001</v>
      </c>
      <c r="G35" s="135">
        <f>F34/$F$35</f>
        <v>16.495396251233146</v>
      </c>
      <c r="H35" s="142">
        <f>SUM(H36:H40)</f>
        <v>100</v>
      </c>
      <c r="I35" s="135">
        <f>H34/H$35</f>
        <v>24.00348</v>
      </c>
      <c r="J35" s="285"/>
      <c r="K35" s="232"/>
      <c r="L35" s="284"/>
      <c r="M35" s="285"/>
    </row>
    <row r="36" spans="1:18" x14ac:dyDescent="0.25">
      <c r="A36" s="137" t="s">
        <v>66</v>
      </c>
      <c r="B36" s="138" t="s">
        <v>99</v>
      </c>
      <c r="C36" s="131" t="s">
        <v>142</v>
      </c>
      <c r="D36" s="143">
        <f>'річний план'!D29</f>
        <v>61.348999999999997</v>
      </c>
      <c r="E36" s="143"/>
      <c r="F36" s="143">
        <f>'річний план'!E29</f>
        <v>75</v>
      </c>
      <c r="G36" s="142"/>
      <c r="H36" s="143">
        <f>'річний план'!F29</f>
        <v>77</v>
      </c>
      <c r="I36" s="143"/>
      <c r="L36" s="232"/>
      <c r="M36" s="136"/>
    </row>
    <row r="37" spans="1:18" x14ac:dyDescent="0.25">
      <c r="A37" s="137" t="s">
        <v>67</v>
      </c>
      <c r="B37" s="138" t="s">
        <v>53</v>
      </c>
      <c r="C37" s="131" t="s">
        <v>143</v>
      </c>
      <c r="D37" s="143">
        <f>'річний план'!D30</f>
        <v>1.885</v>
      </c>
      <c r="E37" s="143"/>
      <c r="F37" s="143">
        <f>'річний план'!E30</f>
        <v>2.04</v>
      </c>
      <c r="G37" s="142"/>
      <c r="H37" s="143">
        <f>'річний план'!F30</f>
        <v>2</v>
      </c>
      <c r="I37" s="143"/>
      <c r="L37" s="232"/>
      <c r="M37" s="136"/>
    </row>
    <row r="38" spans="1:18" x14ac:dyDescent="0.25">
      <c r="A38" s="137" t="s">
        <v>68</v>
      </c>
      <c r="B38" s="138" t="s">
        <v>54</v>
      </c>
      <c r="C38" s="131" t="s">
        <v>144</v>
      </c>
      <c r="D38" s="143">
        <f>'річний план'!D31</f>
        <v>20.431000000000001</v>
      </c>
      <c r="E38" s="143"/>
      <c r="F38" s="143">
        <f>'річний план'!E31</f>
        <v>44.6</v>
      </c>
      <c r="G38" s="142"/>
      <c r="H38" s="143">
        <f>'річний план'!F31</f>
        <v>21</v>
      </c>
      <c r="I38" s="143"/>
      <c r="L38" s="232"/>
      <c r="M38" s="136"/>
    </row>
    <row r="39" spans="1:18" ht="31.5" x14ac:dyDescent="0.25">
      <c r="A39" s="137" t="s">
        <v>69</v>
      </c>
      <c r="B39" s="138" t="s">
        <v>56</v>
      </c>
      <c r="C39" s="131" t="s">
        <v>145</v>
      </c>
      <c r="D39" s="143"/>
      <c r="E39" s="143"/>
      <c r="F39" s="143"/>
      <c r="G39" s="143"/>
      <c r="H39" s="130"/>
      <c r="I39" s="143"/>
      <c r="K39" s="378"/>
      <c r="L39" s="232"/>
      <c r="M39" s="136"/>
    </row>
    <row r="40" spans="1:18" x14ac:dyDescent="0.25">
      <c r="A40" s="133">
        <v>10</v>
      </c>
      <c r="B40" s="134" t="s">
        <v>629</v>
      </c>
      <c r="C40" s="131" t="s">
        <v>146</v>
      </c>
      <c r="D40" s="143"/>
      <c r="E40" s="135">
        <f>D34/D35</f>
        <v>21.741911193450068</v>
      </c>
      <c r="F40" s="143"/>
      <c r="G40" s="142">
        <f>F34/F35</f>
        <v>16.495396251233146</v>
      </c>
      <c r="H40" s="130"/>
      <c r="I40" s="135">
        <f>H34/H35</f>
        <v>24.00348</v>
      </c>
      <c r="L40" s="232"/>
      <c r="M40" s="136"/>
      <c r="N40" s="140"/>
      <c r="O40" s="126"/>
    </row>
    <row r="41" spans="1:18" x14ac:dyDescent="0.25">
      <c r="A41" s="100"/>
    </row>
    <row r="42" spans="1:18" x14ac:dyDescent="0.25">
      <c r="A42" s="133" t="s">
        <v>377</v>
      </c>
      <c r="B42" s="134" t="s">
        <v>667</v>
      </c>
      <c r="C42" s="131" t="s">
        <v>200</v>
      </c>
      <c r="D42" s="143"/>
      <c r="E42" s="135">
        <f>E40*1.2</f>
        <v>26.090293432140083</v>
      </c>
      <c r="F42" s="135"/>
      <c r="G42" s="142">
        <f t="shared" ref="G42:I42" si="24">G40*1.2</f>
        <v>19.794475501479774</v>
      </c>
      <c r="H42" s="135"/>
      <c r="I42" s="135">
        <f t="shared" si="24"/>
        <v>28.804175999999998</v>
      </c>
      <c r="L42" s="232"/>
      <c r="M42" s="136"/>
      <c r="N42" s="140"/>
      <c r="O42" s="126"/>
    </row>
    <row r="44" spans="1:18" x14ac:dyDescent="0.25">
      <c r="B44" s="438" t="s">
        <v>15</v>
      </c>
      <c r="C44" s="66"/>
      <c r="D44" s="457"/>
      <c r="E44" s="457"/>
      <c r="G44" s="437" t="s">
        <v>57</v>
      </c>
      <c r="H44" s="437"/>
      <c r="I44" s="437"/>
    </row>
    <row r="45" spans="1:18" x14ac:dyDescent="0.25">
      <c r="B45" s="438"/>
      <c r="C45" s="141"/>
      <c r="D45" s="429" t="s">
        <v>17</v>
      </c>
      <c r="E45" s="429"/>
      <c r="G45" s="431" t="s">
        <v>18</v>
      </c>
      <c r="H45" s="431"/>
      <c r="I45" s="431"/>
    </row>
    <row r="46" spans="1:18" x14ac:dyDescent="0.25">
      <c r="B46" s="26"/>
      <c r="C46" s="32"/>
      <c r="E46" s="405" t="s">
        <v>19</v>
      </c>
      <c r="F46" s="25"/>
    </row>
    <row r="47" spans="1:18" x14ac:dyDescent="0.25">
      <c r="B47" s="426" t="s">
        <v>647</v>
      </c>
      <c r="C47" s="426"/>
      <c r="D47" s="25"/>
      <c r="E47" s="25"/>
      <c r="F47" s="25"/>
    </row>
    <row r="48" spans="1:18" x14ac:dyDescent="0.25">
      <c r="B48" s="101"/>
      <c r="C48" s="101"/>
      <c r="D48" s="421"/>
      <c r="E48" s="421"/>
      <c r="F48" s="421"/>
    </row>
  </sheetData>
  <mergeCells count="16">
    <mergeCell ref="B47:C47"/>
    <mergeCell ref="D45:E45"/>
    <mergeCell ref="B44:B45"/>
    <mergeCell ref="G44:I44"/>
    <mergeCell ref="G45:I45"/>
    <mergeCell ref="D44:E44"/>
    <mergeCell ref="A1:I1"/>
    <mergeCell ref="A2:I2"/>
    <mergeCell ref="H5:I5"/>
    <mergeCell ref="A3:I3"/>
    <mergeCell ref="A6:A8"/>
    <mergeCell ref="B6:B8"/>
    <mergeCell ref="C6:C8"/>
    <mergeCell ref="F6:G7"/>
    <mergeCell ref="H6:I7"/>
    <mergeCell ref="D6:E7"/>
  </mergeCells>
  <pageMargins left="0.19685039370078741" right="0.19685039370078741" top="0.39370078740157483" bottom="0.39370078740157483" header="0" footer="0"/>
  <pageSetup paperSize="9" scale="80" orientation="portrait" verticalDpi="0" r:id="rId1"/>
  <ignoredErrors>
    <ignoredError sqref="C37:C40 C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82" zoomScaleNormal="82" workbookViewId="0">
      <selection activeCell="K8" sqref="K8"/>
    </sheetView>
  </sheetViews>
  <sheetFormatPr defaultRowHeight="15.75" x14ac:dyDescent="0.25"/>
  <cols>
    <col min="1" max="1" width="5" style="67" bestFit="1" customWidth="1"/>
    <col min="2" max="2" width="30.42578125" style="127" customWidth="1"/>
    <col min="3" max="3" width="9.140625" style="127"/>
    <col min="4" max="4" width="13.85546875" style="127" customWidth="1"/>
    <col min="5" max="5" width="9.85546875" style="127" customWidth="1"/>
    <col min="6" max="6" width="12.140625" style="127" customWidth="1"/>
    <col min="7" max="7" width="13.85546875" style="127" customWidth="1"/>
    <col min="8" max="8" width="9.140625" style="127"/>
    <col min="9" max="9" width="11.28515625" style="127" customWidth="1"/>
    <col min="10" max="16384" width="9.140625" style="127"/>
  </cols>
  <sheetData>
    <row r="1" spans="1:11" ht="18.75" x14ac:dyDescent="0.3">
      <c r="A1" s="458" t="s">
        <v>71</v>
      </c>
      <c r="B1" s="458"/>
      <c r="C1" s="458"/>
      <c r="D1" s="458"/>
      <c r="E1" s="458"/>
      <c r="F1" s="458"/>
      <c r="G1" s="458"/>
      <c r="H1" s="458"/>
      <c r="I1" s="458"/>
    </row>
    <row r="2" spans="1:11" s="205" customFormat="1" ht="22.5" customHeight="1" x14ac:dyDescent="0.3">
      <c r="A2" s="459" t="s">
        <v>281</v>
      </c>
      <c r="B2" s="459"/>
      <c r="C2" s="459"/>
      <c r="D2" s="459"/>
      <c r="E2" s="459"/>
      <c r="F2" s="459"/>
      <c r="G2" s="459"/>
      <c r="H2" s="459"/>
      <c r="I2" s="459"/>
    </row>
    <row r="3" spans="1:11" s="205" customFormat="1" ht="42.75" customHeight="1" x14ac:dyDescent="0.3">
      <c r="A3" s="459" t="s">
        <v>429</v>
      </c>
      <c r="B3" s="459"/>
      <c r="C3" s="459"/>
      <c r="D3" s="459"/>
      <c r="E3" s="459"/>
      <c r="F3" s="459"/>
      <c r="G3" s="459"/>
      <c r="H3" s="459"/>
      <c r="I3" s="459"/>
    </row>
    <row r="5" spans="1:11" ht="40.5" customHeight="1" x14ac:dyDescent="0.25">
      <c r="A5" s="460" t="s">
        <v>0</v>
      </c>
      <c r="B5" s="452" t="s">
        <v>277</v>
      </c>
      <c r="C5" s="452" t="s">
        <v>32</v>
      </c>
      <c r="D5" s="452" t="s">
        <v>645</v>
      </c>
      <c r="E5" s="452"/>
      <c r="F5" s="452"/>
      <c r="G5" s="452" t="s">
        <v>644</v>
      </c>
      <c r="H5" s="452"/>
      <c r="I5" s="452"/>
    </row>
    <row r="6" spans="1:11" ht="78.75" x14ac:dyDescent="0.25">
      <c r="A6" s="460"/>
      <c r="B6" s="452"/>
      <c r="C6" s="452"/>
      <c r="D6" s="203" t="s">
        <v>291</v>
      </c>
      <c r="E6" s="203" t="s">
        <v>399</v>
      </c>
      <c r="F6" s="203" t="s">
        <v>278</v>
      </c>
      <c r="G6" s="203" t="s">
        <v>291</v>
      </c>
      <c r="H6" s="203" t="s">
        <v>164</v>
      </c>
      <c r="I6" s="203" t="s">
        <v>278</v>
      </c>
    </row>
    <row r="7" spans="1:11" x14ac:dyDescent="0.25">
      <c r="A7" s="131" t="s">
        <v>33</v>
      </c>
      <c r="B7" s="129" t="s">
        <v>34</v>
      </c>
      <c r="C7" s="129" t="s">
        <v>35</v>
      </c>
      <c r="D7" s="129">
        <v>1</v>
      </c>
      <c r="E7" s="129">
        <v>2</v>
      </c>
      <c r="F7" s="129">
        <v>3</v>
      </c>
      <c r="G7" s="129">
        <v>4</v>
      </c>
      <c r="H7" s="129">
        <v>5</v>
      </c>
      <c r="I7" s="129">
        <v>6</v>
      </c>
    </row>
    <row r="8" spans="1:11" ht="31.5" x14ac:dyDescent="0.25">
      <c r="A8" s="206">
        <v>1</v>
      </c>
      <c r="B8" s="207" t="s">
        <v>279</v>
      </c>
      <c r="C8" s="208" t="s">
        <v>116</v>
      </c>
      <c r="D8" s="209">
        <f>'річний план'!D20</f>
        <v>99.691000000000003</v>
      </c>
      <c r="E8" s="210">
        <f>F8/D8</f>
        <v>5.1500035108485216</v>
      </c>
      <c r="F8" s="209">
        <v>513.40899999999999</v>
      </c>
      <c r="G8" s="209">
        <f>'річний план'!F20</f>
        <v>119</v>
      </c>
      <c r="H8" s="210">
        <v>6.97</v>
      </c>
      <c r="I8" s="209">
        <f>ROUND(G8*H8,2)</f>
        <v>829.43</v>
      </c>
      <c r="K8" s="127" t="s">
        <v>646</v>
      </c>
    </row>
    <row r="9" spans="1:11" s="136" customFormat="1" x14ac:dyDescent="0.25">
      <c r="A9" s="211"/>
      <c r="B9" s="212" t="s">
        <v>289</v>
      </c>
      <c r="C9" s="212"/>
      <c r="D9" s="213"/>
      <c r="E9" s="213"/>
      <c r="F9" s="213">
        <f>F8</f>
        <v>513.40899999999999</v>
      </c>
      <c r="G9" s="213"/>
      <c r="H9" s="213"/>
      <c r="I9" s="213">
        <f>SUM(I8:I8)</f>
        <v>829.43</v>
      </c>
    </row>
    <row r="10" spans="1:11" x14ac:dyDescent="0.25">
      <c r="A10" s="206"/>
      <c r="B10" s="214"/>
      <c r="C10" s="214"/>
      <c r="D10" s="210"/>
      <c r="E10" s="210"/>
      <c r="F10" s="210"/>
      <c r="G10" s="210"/>
      <c r="H10" s="210"/>
      <c r="I10" s="210"/>
    </row>
    <row r="11" spans="1:11" x14ac:dyDescent="0.25">
      <c r="F11" s="127" t="s">
        <v>626</v>
      </c>
      <c r="I11" s="127" t="s">
        <v>626</v>
      </c>
    </row>
    <row r="12" spans="1:11" s="217" customFormat="1" ht="27" customHeight="1" x14ac:dyDescent="0.25">
      <c r="A12" s="215"/>
      <c r="B12" s="438" t="s">
        <v>15</v>
      </c>
      <c r="C12" s="215"/>
      <c r="D12" s="461" t="s">
        <v>280</v>
      </c>
      <c r="E12" s="461"/>
      <c r="F12" s="408"/>
      <c r="G12" s="461" t="s">
        <v>57</v>
      </c>
      <c r="H12" s="461"/>
      <c r="I12" s="461"/>
    </row>
    <row r="13" spans="1:11" x14ac:dyDescent="0.25">
      <c r="B13" s="438"/>
      <c r="C13" s="67"/>
      <c r="D13" s="437" t="s">
        <v>17</v>
      </c>
      <c r="E13" s="437"/>
      <c r="F13" s="32"/>
      <c r="G13" s="437" t="s">
        <v>18</v>
      </c>
      <c r="H13" s="437"/>
      <c r="I13" s="437"/>
    </row>
    <row r="14" spans="1:11" ht="21" customHeight="1" x14ac:dyDescent="0.25">
      <c r="A14" s="70"/>
      <c r="B14" s="205"/>
      <c r="C14" s="100"/>
      <c r="D14" s="32" t="s">
        <v>19</v>
      </c>
    </row>
    <row r="15" spans="1:11" x14ac:dyDescent="0.25">
      <c r="B15" s="426" t="s">
        <v>647</v>
      </c>
      <c r="C15" s="426"/>
      <c r="D15" s="426"/>
    </row>
  </sheetData>
  <mergeCells count="14">
    <mergeCell ref="B15:D15"/>
    <mergeCell ref="G12:I12"/>
    <mergeCell ref="G13:I13"/>
    <mergeCell ref="D12:E12"/>
    <mergeCell ref="D13:E13"/>
    <mergeCell ref="A1:I1"/>
    <mergeCell ref="A2:I2"/>
    <mergeCell ref="A3:I3"/>
    <mergeCell ref="B12:B13"/>
    <mergeCell ref="A5:A6"/>
    <mergeCell ref="B5:B6"/>
    <mergeCell ref="C5:C6"/>
    <mergeCell ref="D5:F5"/>
    <mergeCell ref="G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95" zoomScaleNormal="95" workbookViewId="0">
      <pane ySplit="6" topLeftCell="A7" activePane="bottomLeft" state="frozenSplit"/>
      <selection pane="bottomLeft" activeCell="F25" sqref="F25"/>
    </sheetView>
  </sheetViews>
  <sheetFormatPr defaultRowHeight="15.75" x14ac:dyDescent="0.25"/>
  <cols>
    <col min="1" max="1" width="5" style="127" bestFit="1" customWidth="1"/>
    <col min="2" max="2" width="32.7109375" style="127" customWidth="1"/>
    <col min="3" max="3" width="9.140625" style="127"/>
    <col min="4" max="4" width="10.7109375" style="136" customWidth="1"/>
    <col min="5" max="5" width="13.7109375" style="127" customWidth="1"/>
    <col min="6" max="6" width="16.7109375" style="127" customWidth="1"/>
    <col min="7" max="7" width="11.28515625" style="136" bestFit="1" customWidth="1"/>
    <col min="8" max="8" width="13.85546875" style="127" customWidth="1"/>
    <col min="9" max="9" width="12.7109375" style="127" customWidth="1"/>
    <col min="10" max="10" width="18.85546875" style="127" customWidth="1"/>
    <col min="11" max="16384" width="9.140625" style="127"/>
  </cols>
  <sheetData>
    <row r="1" spans="1:12" x14ac:dyDescent="0.25">
      <c r="A1" s="463" t="s">
        <v>437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2" s="205" customFormat="1" ht="30.75" customHeight="1" x14ac:dyDescent="0.25">
      <c r="A2" s="461" t="s">
        <v>438</v>
      </c>
      <c r="B2" s="461"/>
      <c r="C2" s="461"/>
      <c r="D2" s="461"/>
      <c r="E2" s="461"/>
      <c r="F2" s="461"/>
      <c r="G2" s="461"/>
      <c r="H2" s="461"/>
      <c r="I2" s="461"/>
      <c r="J2" s="461"/>
    </row>
    <row r="4" spans="1:12" x14ac:dyDescent="0.25">
      <c r="A4" s="460" t="s">
        <v>0</v>
      </c>
      <c r="B4" s="452" t="s">
        <v>283</v>
      </c>
      <c r="C4" s="452" t="s">
        <v>32</v>
      </c>
      <c r="D4" s="452" t="s">
        <v>643</v>
      </c>
      <c r="E4" s="452"/>
      <c r="F4" s="452"/>
      <c r="G4" s="452" t="s">
        <v>644</v>
      </c>
      <c r="H4" s="452"/>
      <c r="I4" s="452"/>
      <c r="J4" s="452"/>
    </row>
    <row r="5" spans="1:12" ht="82.5" customHeight="1" x14ac:dyDescent="0.25">
      <c r="A5" s="460"/>
      <c r="B5" s="452"/>
      <c r="C5" s="452"/>
      <c r="D5" s="235" t="s">
        <v>402</v>
      </c>
      <c r="E5" s="224" t="s">
        <v>442</v>
      </c>
      <c r="F5" s="224" t="s">
        <v>443</v>
      </c>
      <c r="G5" s="235" t="s">
        <v>402</v>
      </c>
      <c r="H5" s="233" t="s">
        <v>618</v>
      </c>
      <c r="I5" s="224" t="s">
        <v>442</v>
      </c>
      <c r="J5" s="224" t="s">
        <v>443</v>
      </c>
    </row>
    <row r="6" spans="1:12" x14ac:dyDescent="0.25">
      <c r="A6" s="131" t="s">
        <v>33</v>
      </c>
      <c r="B6" s="129" t="s">
        <v>34</v>
      </c>
      <c r="C6" s="129" t="s">
        <v>35</v>
      </c>
      <c r="D6" s="236">
        <v>1</v>
      </c>
      <c r="E6" s="129">
        <v>2</v>
      </c>
      <c r="F6" s="129">
        <v>3</v>
      </c>
      <c r="G6" s="236">
        <v>4</v>
      </c>
      <c r="H6" s="129">
        <v>5</v>
      </c>
      <c r="I6" s="129">
        <v>6</v>
      </c>
      <c r="J6" s="236">
        <v>7</v>
      </c>
    </row>
    <row r="7" spans="1:12" s="136" customFormat="1" x14ac:dyDescent="0.25">
      <c r="A7" s="223" t="s">
        <v>441</v>
      </c>
      <c r="B7" s="212"/>
      <c r="C7" s="212"/>
      <c r="D7" s="411">
        <f>SUM(D8:D11)</f>
        <v>774.36500010000009</v>
      </c>
      <c r="E7" s="411">
        <f t="shared" ref="E7:I7" si="0">SUM(E8:E11)</f>
        <v>774.36500001000002</v>
      </c>
      <c r="F7" s="411">
        <f t="shared" si="0"/>
        <v>8.9999999999999999E-8</v>
      </c>
      <c r="G7" s="411">
        <f t="shared" si="0"/>
        <v>878.01000001000011</v>
      </c>
      <c r="H7" s="234">
        <f>I7/G7</f>
        <v>0.99999999998861044</v>
      </c>
      <c r="I7" s="411">
        <f t="shared" si="0"/>
        <v>878.01</v>
      </c>
      <c r="J7" s="209">
        <v>1E-8</v>
      </c>
      <c r="K7" s="185"/>
      <c r="L7" s="285">
        <f>G7/D7-1</f>
        <v>0.13384515040919398</v>
      </c>
    </row>
    <row r="8" spans="1:12" x14ac:dyDescent="0.25">
      <c r="A8" s="131" t="s">
        <v>282</v>
      </c>
      <c r="B8" s="218" t="s">
        <v>422</v>
      </c>
      <c r="C8" s="208" t="s">
        <v>116</v>
      </c>
      <c r="D8" s="135">
        <f>E8</f>
        <v>320.10599999999999</v>
      </c>
      <c r="E8" s="130">
        <v>320.10599999999999</v>
      </c>
      <c r="F8" s="130">
        <v>0</v>
      </c>
      <c r="G8" s="135">
        <f>штат!O16</f>
        <v>285.59000000000003</v>
      </c>
      <c r="H8" s="234">
        <v>1</v>
      </c>
      <c r="I8" s="130">
        <f>ROUND(G8*H8,2)</f>
        <v>285.58999999999997</v>
      </c>
      <c r="J8" s="143">
        <f>G8-I8</f>
        <v>0</v>
      </c>
      <c r="K8" s="185"/>
      <c r="L8" s="232"/>
    </row>
    <row r="9" spans="1:12" x14ac:dyDescent="0.25">
      <c r="A9" s="131" t="s">
        <v>319</v>
      </c>
      <c r="B9" s="207" t="s">
        <v>284</v>
      </c>
      <c r="C9" s="208" t="s">
        <v>117</v>
      </c>
      <c r="D9" s="411">
        <v>9.9999999999999995E-8</v>
      </c>
      <c r="E9" s="210">
        <v>1E-8</v>
      </c>
      <c r="F9" s="130">
        <f>D9-E9</f>
        <v>8.9999999999999999E-8</v>
      </c>
      <c r="G9" s="411">
        <v>1E-8</v>
      </c>
      <c r="H9" s="234">
        <v>1</v>
      </c>
      <c r="I9" s="130">
        <f>ROUND(G9*H9,2)</f>
        <v>0</v>
      </c>
      <c r="J9" s="143">
        <f>G9-I9</f>
        <v>1E-8</v>
      </c>
      <c r="K9" s="185"/>
      <c r="L9" s="358"/>
    </row>
    <row r="10" spans="1:12" x14ac:dyDescent="0.25">
      <c r="A10" s="131" t="s">
        <v>325</v>
      </c>
      <c r="B10" s="207" t="s">
        <v>287</v>
      </c>
      <c r="C10" s="208" t="s">
        <v>118</v>
      </c>
      <c r="D10" s="411">
        <f>E10</f>
        <v>224.501</v>
      </c>
      <c r="E10" s="210">
        <v>224.501</v>
      </c>
      <c r="F10" s="130">
        <v>0</v>
      </c>
      <c r="G10" s="411">
        <f>штат!O18</f>
        <v>309.86</v>
      </c>
      <c r="H10" s="234">
        <f>I10/G10</f>
        <v>1</v>
      </c>
      <c r="I10" s="130">
        <f>G10-J10</f>
        <v>309.86</v>
      </c>
      <c r="J10" s="143">
        <f>ROUND(J8*0.05,1)</f>
        <v>0</v>
      </c>
      <c r="K10" s="185"/>
      <c r="L10" s="232"/>
    </row>
    <row r="11" spans="1:12" ht="16.5" thickBot="1" x14ac:dyDescent="0.3">
      <c r="A11" s="272" t="s">
        <v>331</v>
      </c>
      <c r="B11" s="273" t="s">
        <v>286</v>
      </c>
      <c r="C11" s="274" t="s">
        <v>119</v>
      </c>
      <c r="D11" s="412">
        <f>E11</f>
        <v>229.75800000000001</v>
      </c>
      <c r="E11" s="416">
        <v>229.75800000000001</v>
      </c>
      <c r="F11" s="338"/>
      <c r="G11" s="412">
        <f>штат!O19</f>
        <v>282.56</v>
      </c>
      <c r="H11" s="276">
        <v>1</v>
      </c>
      <c r="I11" s="338">
        <f>G11*H11</f>
        <v>282.56</v>
      </c>
      <c r="J11" s="275">
        <f t="shared" ref="J11" si="1">G11-I11</f>
        <v>0</v>
      </c>
      <c r="K11" s="185"/>
      <c r="L11" s="232"/>
    </row>
    <row r="12" spans="1:12" s="136" customFormat="1" x14ac:dyDescent="0.25">
      <c r="A12" s="222" t="s">
        <v>440</v>
      </c>
      <c r="B12" s="269"/>
      <c r="C12" s="269"/>
      <c r="D12" s="270">
        <f>SUM(D13:D16)</f>
        <v>7</v>
      </c>
      <c r="E12" s="270">
        <f t="shared" ref="E12:F12" si="2">SUM(E13:E16)</f>
        <v>7</v>
      </c>
      <c r="F12" s="270">
        <f t="shared" si="2"/>
        <v>0</v>
      </c>
      <c r="G12" s="384">
        <f>SUM(G13:G16)</f>
        <v>5.75</v>
      </c>
      <c r="H12" s="271">
        <f>I12/G12</f>
        <v>1.0000000017391304</v>
      </c>
      <c r="I12" s="384">
        <f>SUM(I13:I16)</f>
        <v>5.7500000099999999</v>
      </c>
      <c r="J12" s="209">
        <v>1E-8</v>
      </c>
      <c r="K12" s="185"/>
      <c r="L12" s="232"/>
    </row>
    <row r="13" spans="1:12" x14ac:dyDescent="0.25">
      <c r="A13" s="131" t="s">
        <v>282</v>
      </c>
      <c r="B13" s="218" t="s">
        <v>422</v>
      </c>
      <c r="C13" s="208" t="s">
        <v>116</v>
      </c>
      <c r="D13" s="237">
        <v>4</v>
      </c>
      <c r="E13" s="143">
        <f>E8*1000/12/$D18</f>
        <v>4</v>
      </c>
      <c r="F13" s="143">
        <f>F8*1000/12/$D18</f>
        <v>0</v>
      </c>
      <c r="G13" s="385">
        <f>штат!C16</f>
        <v>2.25</v>
      </c>
      <c r="H13" s="234">
        <f t="shared" ref="H13:H16" si="3">I13/G13</f>
        <v>0.99999999999999978</v>
      </c>
      <c r="I13" s="130">
        <f>I8*1000/12/$G18</f>
        <v>2.2499999999999996</v>
      </c>
      <c r="J13" s="143">
        <f>J8*1000/12/$G18</f>
        <v>0</v>
      </c>
      <c r="K13" s="185"/>
      <c r="L13" s="232"/>
    </row>
    <row r="14" spans="1:12" x14ac:dyDescent="0.25">
      <c r="A14" s="131" t="s">
        <v>319</v>
      </c>
      <c r="B14" s="207" t="s">
        <v>284</v>
      </c>
      <c r="C14" s="208" t="s">
        <v>117</v>
      </c>
      <c r="D14" s="219">
        <v>0</v>
      </c>
      <c r="E14" s="143">
        <v>0</v>
      </c>
      <c r="F14" s="143">
        <v>0</v>
      </c>
      <c r="G14" s="237">
        <f>штат!C17</f>
        <v>0</v>
      </c>
      <c r="H14" s="234">
        <v>1</v>
      </c>
      <c r="I14" s="209">
        <v>1E-8</v>
      </c>
      <c r="J14" s="209">
        <v>1E-8</v>
      </c>
      <c r="K14" s="185"/>
      <c r="L14" s="358"/>
    </row>
    <row r="15" spans="1:12" x14ac:dyDescent="0.25">
      <c r="A15" s="131" t="s">
        <v>325</v>
      </c>
      <c r="B15" s="207" t="s">
        <v>287</v>
      </c>
      <c r="C15" s="208" t="s">
        <v>118</v>
      </c>
      <c r="D15" s="219">
        <v>1</v>
      </c>
      <c r="E15" s="143">
        <v>1</v>
      </c>
      <c r="F15" s="143">
        <f t="shared" ref="F15" si="4">F10*1000/12/$D20</f>
        <v>0</v>
      </c>
      <c r="G15" s="237">
        <f>штат!C18</f>
        <v>1</v>
      </c>
      <c r="H15" s="234">
        <f t="shared" si="3"/>
        <v>1</v>
      </c>
      <c r="I15" s="143">
        <f t="shared" ref="I15:J15" si="5">I10*1000/12/$G20</f>
        <v>1</v>
      </c>
      <c r="J15" s="143">
        <f t="shared" si="5"/>
        <v>0</v>
      </c>
      <c r="K15" s="185"/>
      <c r="L15" s="232"/>
    </row>
    <row r="16" spans="1:12" ht="16.5" thickBot="1" x14ac:dyDescent="0.3">
      <c r="A16" s="272" t="s">
        <v>331</v>
      </c>
      <c r="B16" s="273" t="s">
        <v>286</v>
      </c>
      <c r="C16" s="274" t="s">
        <v>119</v>
      </c>
      <c r="D16" s="278">
        <v>2</v>
      </c>
      <c r="E16" s="275">
        <v>2</v>
      </c>
      <c r="F16" s="275"/>
      <c r="G16" s="279">
        <f>штат!C19</f>
        <v>2.5</v>
      </c>
      <c r="H16" s="276">
        <f t="shared" si="3"/>
        <v>1.0000000000000002</v>
      </c>
      <c r="I16" s="338">
        <f>I11*1000/12/$G21</f>
        <v>2.5000000000000004</v>
      </c>
      <c r="J16" s="275"/>
      <c r="K16" s="185"/>
      <c r="L16" s="232"/>
    </row>
    <row r="17" spans="1:12" s="136" customFormat="1" x14ac:dyDescent="0.25">
      <c r="A17" s="269" t="s">
        <v>439</v>
      </c>
      <c r="C17" s="269"/>
      <c r="D17" s="277">
        <f>D7*1000/D12/12</f>
        <v>9218.6309535714299</v>
      </c>
      <c r="E17" s="277">
        <f t="shared" ref="E17:G17" si="6">E7*1000/E12/12</f>
        <v>9218.6309524999997</v>
      </c>
      <c r="F17" s="360" t="e">
        <f t="shared" si="6"/>
        <v>#DIV/0!</v>
      </c>
      <c r="G17" s="277">
        <f t="shared" si="6"/>
        <v>12724.78260884058</v>
      </c>
      <c r="H17" s="277" t="s">
        <v>58</v>
      </c>
      <c r="I17" s="277">
        <f>I7*1000/I12/12</f>
        <v>12724.782586565596</v>
      </c>
      <c r="J17" s="209">
        <v>1E-8</v>
      </c>
      <c r="K17" s="185"/>
      <c r="L17" s="232"/>
    </row>
    <row r="18" spans="1:12" x14ac:dyDescent="0.25">
      <c r="A18" s="131" t="s">
        <v>282</v>
      </c>
      <c r="B18" s="218" t="s">
        <v>422</v>
      </c>
      <c r="C18" s="208" t="s">
        <v>116</v>
      </c>
      <c r="D18" s="135">
        <f>D8*1000/D13/12</f>
        <v>6668.875</v>
      </c>
      <c r="E18" s="130">
        <f t="shared" ref="E18:I18" si="7">E8*1000/E13/12</f>
        <v>6668.875</v>
      </c>
      <c r="F18" s="359" t="e">
        <f>F8*1000/F13/12</f>
        <v>#DIV/0!</v>
      </c>
      <c r="G18" s="135">
        <f t="shared" si="7"/>
        <v>10577.407407407411</v>
      </c>
      <c r="H18" s="130" t="s">
        <v>58</v>
      </c>
      <c r="I18" s="130">
        <f t="shared" si="7"/>
        <v>10577.407407407411</v>
      </c>
      <c r="J18" s="209">
        <v>1E-8</v>
      </c>
      <c r="K18" s="185"/>
      <c r="L18" s="232"/>
    </row>
    <row r="19" spans="1:12" x14ac:dyDescent="0.25">
      <c r="A19" s="131" t="s">
        <v>319</v>
      </c>
      <c r="B19" s="207" t="s">
        <v>284</v>
      </c>
      <c r="C19" s="208" t="s">
        <v>117</v>
      </c>
      <c r="D19" s="135">
        <v>0</v>
      </c>
      <c r="E19" s="130">
        <v>0</v>
      </c>
      <c r="F19" s="359" t="e">
        <f t="shared" ref="F19" si="8">F9*1000/F14/12</f>
        <v>#DIV/0!</v>
      </c>
      <c r="G19" s="209">
        <v>1E-8</v>
      </c>
      <c r="H19" s="130" t="s">
        <v>58</v>
      </c>
      <c r="I19" s="209">
        <v>1E-8</v>
      </c>
      <c r="J19" s="209">
        <v>1E-8</v>
      </c>
      <c r="K19" s="185"/>
      <c r="L19" s="358"/>
    </row>
    <row r="20" spans="1:12" x14ac:dyDescent="0.25">
      <c r="A20" s="131" t="s">
        <v>325</v>
      </c>
      <c r="B20" s="207" t="s">
        <v>287</v>
      </c>
      <c r="C20" s="208" t="s">
        <v>118</v>
      </c>
      <c r="D20" s="135">
        <f>D10*1000/D15/12</f>
        <v>18708.416666666668</v>
      </c>
      <c r="E20" s="130">
        <f>E10*1000/E15/12</f>
        <v>18708.416666666668</v>
      </c>
      <c r="F20" s="359" t="e">
        <f t="shared" ref="F20:G20" si="9">F10*1000/F15/12</f>
        <v>#DIV/0!</v>
      </c>
      <c r="G20" s="135">
        <f t="shared" si="9"/>
        <v>25821.666666666668</v>
      </c>
      <c r="H20" s="130" t="s">
        <v>58</v>
      </c>
      <c r="I20" s="130">
        <f>I10*1000/I15/12</f>
        <v>25821.666666666668</v>
      </c>
      <c r="J20" s="209">
        <v>1E-8</v>
      </c>
      <c r="K20" s="185"/>
      <c r="L20" s="232"/>
    </row>
    <row r="21" spans="1:12" x14ac:dyDescent="0.25">
      <c r="A21" s="131" t="s">
        <v>331</v>
      </c>
      <c r="B21" s="207" t="s">
        <v>286</v>
      </c>
      <c r="C21" s="208" t="s">
        <v>119</v>
      </c>
      <c r="D21" s="135">
        <f>D11*1000/D16/12</f>
        <v>9573.25</v>
      </c>
      <c r="E21" s="130">
        <f t="shared" ref="E21:I21" si="10">E11*1000/E16/12</f>
        <v>9573.25</v>
      </c>
      <c r="F21" s="130"/>
      <c r="G21" s="135">
        <f t="shared" si="10"/>
        <v>9418.6666666666661</v>
      </c>
      <c r="H21" s="130" t="s">
        <v>58</v>
      </c>
      <c r="I21" s="130">
        <f t="shared" si="10"/>
        <v>9418.6666666666661</v>
      </c>
      <c r="J21" s="130"/>
      <c r="K21" s="185"/>
      <c r="L21" s="232"/>
    </row>
    <row r="22" spans="1:12" x14ac:dyDescent="0.25">
      <c r="A22" s="199"/>
      <c r="B22" s="199"/>
      <c r="C22" s="199"/>
      <c r="D22" s="238"/>
      <c r="E22" s="220"/>
      <c r="F22" s="220"/>
      <c r="G22" s="240"/>
      <c r="H22" s="221"/>
      <c r="I22" s="220"/>
      <c r="J22" s="220" t="s">
        <v>626</v>
      </c>
    </row>
    <row r="23" spans="1:12" s="217" customFormat="1" ht="27" customHeight="1" x14ac:dyDescent="0.25">
      <c r="A23" s="215"/>
      <c r="B23" s="438" t="s">
        <v>15</v>
      </c>
      <c r="C23" s="215"/>
      <c r="D23" s="461" t="s">
        <v>280</v>
      </c>
      <c r="E23" s="461"/>
      <c r="F23" s="216"/>
      <c r="G23" s="461" t="s">
        <v>57</v>
      </c>
      <c r="H23" s="461"/>
      <c r="I23" s="461"/>
      <c r="J23" s="461"/>
    </row>
    <row r="24" spans="1:12" x14ac:dyDescent="0.25">
      <c r="A24" s="67"/>
      <c r="B24" s="438"/>
      <c r="C24" s="67"/>
      <c r="D24" s="437" t="s">
        <v>17</v>
      </c>
      <c r="E24" s="437"/>
      <c r="F24" s="32"/>
      <c r="G24" s="437" t="s">
        <v>18</v>
      </c>
      <c r="H24" s="437"/>
      <c r="I24" s="437"/>
      <c r="J24" s="437"/>
    </row>
    <row r="25" spans="1:12" ht="21" customHeight="1" x14ac:dyDescent="0.25">
      <c r="A25" s="70"/>
      <c r="B25" s="205"/>
      <c r="C25" s="100"/>
      <c r="D25" s="239" t="s">
        <v>19</v>
      </c>
    </row>
    <row r="26" spans="1:12" x14ac:dyDescent="0.25">
      <c r="A26" s="67"/>
      <c r="B26" s="426" t="s">
        <v>647</v>
      </c>
      <c r="C26" s="426"/>
      <c r="D26" s="426"/>
    </row>
    <row r="29" spans="1:12" ht="38.25" customHeight="1" x14ac:dyDescent="0.25">
      <c r="A29" s="462" t="s">
        <v>434</v>
      </c>
      <c r="B29" s="462"/>
      <c r="C29" s="462"/>
      <c r="D29" s="462"/>
      <c r="E29" s="462"/>
      <c r="F29" s="462"/>
      <c r="G29" s="462"/>
      <c r="H29" s="462"/>
      <c r="I29" s="462"/>
      <c r="J29" s="462"/>
    </row>
  </sheetData>
  <mergeCells count="14">
    <mergeCell ref="A29:J29"/>
    <mergeCell ref="B26:D26"/>
    <mergeCell ref="A1:J1"/>
    <mergeCell ref="A2:J2"/>
    <mergeCell ref="A4:A5"/>
    <mergeCell ref="B4:B5"/>
    <mergeCell ref="C4:C5"/>
    <mergeCell ref="D4:F4"/>
    <mergeCell ref="G4:J4"/>
    <mergeCell ref="B23:B24"/>
    <mergeCell ref="D23:E23"/>
    <mergeCell ref="G23:J23"/>
    <mergeCell ref="D24:E24"/>
    <mergeCell ref="G24:J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11</vt:i4>
      </vt:variant>
    </vt:vector>
  </HeadingPairs>
  <TitlesOfParts>
    <vt:vector size="30" baseType="lpstr">
      <vt:lpstr>перелік</vt:lpstr>
      <vt:lpstr>заява</vt:lpstr>
      <vt:lpstr>річний план</vt:lpstr>
      <vt:lpstr>обсяги_факт</vt:lpstr>
      <vt:lpstr>структура_полн</vt:lpstr>
      <vt:lpstr>структура </vt:lpstr>
      <vt:lpstr>розрахунок тарифу</vt:lpstr>
      <vt:lpstr>покупна вода</vt:lpstr>
      <vt:lpstr>ФОТ</vt:lpstr>
      <vt:lpstr>штат</vt:lpstr>
      <vt:lpstr>эл.энергия</vt:lpstr>
      <vt:lpstr>эл.оборуд.</vt:lpstr>
      <vt:lpstr>загальновироб</vt:lpstr>
      <vt:lpstr>ПММ</vt:lpstr>
      <vt:lpstr>ОхронаПраці</vt:lpstr>
      <vt:lpstr>админ</vt:lpstr>
      <vt:lpstr>збут</vt:lpstr>
      <vt:lpstr>інші</vt:lpstr>
      <vt:lpstr>фін.расх</vt:lpstr>
      <vt:lpstr>'розрахунок тарифу'!OLE_LINK2</vt:lpstr>
      <vt:lpstr>заява!Область_печати</vt:lpstr>
      <vt:lpstr>збут!Область_печати</vt:lpstr>
      <vt:lpstr>обсяги_факт!Область_печати</vt:lpstr>
      <vt:lpstr>ОхронаПраці!Область_печати</vt:lpstr>
      <vt:lpstr>перелік!Область_печати</vt:lpstr>
      <vt:lpstr>'річний план'!Область_печати</vt:lpstr>
      <vt:lpstr>'розрахунок тарифу'!Область_печати</vt:lpstr>
      <vt:lpstr>'структура '!Область_печати</vt:lpstr>
      <vt:lpstr>структура_полн!Область_печати</vt:lpstr>
      <vt:lpstr>эл.энергия!Область_печати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Drobot Yuliya A.</dc:creator>
  <cp:lastModifiedBy>Admin</cp:lastModifiedBy>
  <cp:lastPrinted>2022-01-25T19:10:16Z</cp:lastPrinted>
  <dcterms:created xsi:type="dcterms:W3CDTF">2016-05-13T09:13:26Z</dcterms:created>
  <dcterms:modified xsi:type="dcterms:W3CDTF">2022-01-28T05:28:56Z</dcterms:modified>
</cp:coreProperties>
</file>